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14625" windowHeight="2415" activeTab="0"/>
  </bookViews>
  <sheets>
    <sheet name="energiegebruik" sheetId="1" r:id="rId1"/>
    <sheet name="Blad2" sheetId="2" r:id="rId2"/>
    <sheet name="Blad3" sheetId="3" r:id="rId3"/>
    <sheet name="gasprijs en verbruik" sheetId="4" r:id="rId4"/>
    <sheet name="Stooktabel" sheetId="5" r:id="rId5"/>
    <sheet name="stroomverbruik Nuon" sheetId="6" r:id="rId6"/>
    <sheet name="waterverbruik" sheetId="7" r:id="rId7"/>
    <sheet name="Stroomverbruik" sheetId="8" r:id="rId8"/>
    <sheet name="Gasprijs" sheetId="9" r:id="rId9"/>
    <sheet name="Benegas prijsfluctuatie" sheetId="10" r:id="rId10"/>
    <sheet name="Blad10" sheetId="11" r:id="rId11"/>
    <sheet name="Blad11" sheetId="12" r:id="rId12"/>
    <sheet name="Blad12" sheetId="13" r:id="rId13"/>
    <sheet name="Blad13" sheetId="14" r:id="rId14"/>
    <sheet name="Blad14" sheetId="15" r:id="rId15"/>
    <sheet name="Blad15" sheetId="16" r:id="rId16"/>
    <sheet name="Blad16" sheetId="17" r:id="rId17"/>
  </sheets>
  <definedNames>
    <definedName name="Z_57973121_4D7F_11D6_9D96_000000000000_.wvu.Cols" localSheetId="0" hidden="1">'energiegebruik'!$C:$C,'energiegebruik'!$F:$F</definedName>
    <definedName name="Z_57973121_4D7F_11D6_9D96_000000000000_.wvu.Rows" localSheetId="0" hidden="1">'energiegebruik'!$7:$11,'energiegebruik'!#REF!,'energiegebruik'!$18:$20,'energiegebruik'!$22:$25,'energiegebruik'!$28:$28,'energiegebruik'!$30:$31</definedName>
    <definedName name="Z_72D25C74_31CC_4FDE_B827_0006000B0468_.wvu.PrintArea" localSheetId="0" hidden="1">'energiegebruik'!$A$1:$V$76</definedName>
    <definedName name="Z_72D25C74_31CC_4FDE_B827_0006000B0468_.wvu.Rows" localSheetId="0" hidden="1">'energiegebruik'!$7:$11,'energiegebruik'!#REF!,'energiegebruik'!$18:$20,'energiegebruik'!$22:$25,'energiegebruik'!$28:$28,'energiegebruik'!$30:$31</definedName>
    <definedName name="Z_72D25C74_31CC_4FDE_B827_0006000B0468_.wvu.Rows" localSheetId="6" hidden="1">'waterverbruik'!$3:$28</definedName>
    <definedName name="Z_7DC77046_4423_4E09_96F2_974B513A53AD_.wvu.Rows" localSheetId="0" hidden="1">'energiegebruik'!$7:$11,'energiegebruik'!#REF!,'energiegebruik'!$18:$20,'energiegebruik'!$22:$25,'energiegebruik'!$28:$28,'energiegebruik'!$30:$31</definedName>
    <definedName name="Z_A7871683_3024_11D5_9DC5_000000000000_.wvu.Cols" localSheetId="0" hidden="1">'energiegebruik'!$C:$C,'energiegebruik'!$F:$F,'energiegebruik'!$H:$H,'energiegebruik'!$J:$J</definedName>
    <definedName name="Z_A7871683_3024_11D5_9DC5_000000000000_.wvu.Rows" localSheetId="0" hidden="1">'energiegebruik'!$7:$11,'energiegebruik'!#REF!,'energiegebruik'!$18:$20,'energiegebruik'!$22:$25,'energiegebruik'!$28:$28,'energiegebruik'!$30:$31</definedName>
    <definedName name="Z_A98117A2_3E28_11D3_8EE1_D195FE1DDA21_.wvu.Rows" localSheetId="0" hidden="1">'energiegebruik'!$7:$11,'energiegebruik'!#REF!,'energiegebruik'!$18:$20,'energiegebruik'!$22:$25,'energiegebruik'!$28:$28,'energiegebruik'!$30:$31</definedName>
    <definedName name="Z_C5F1A25D_77AE_4476_9041_2504ED85A630_.wvu.PrintArea" localSheetId="0" hidden="1">'energiegebruik'!$A$1:$V$76</definedName>
    <definedName name="Z_C5F1A25D_77AE_4476_9041_2504ED85A630_.wvu.Rows" localSheetId="0" hidden="1">'energiegebruik'!$7:$11,'energiegebruik'!#REF!,'energiegebruik'!$18:$20,'energiegebruik'!$22:$25,'energiegebruik'!$28:$28,'energiegebruik'!$30:$31</definedName>
    <definedName name="Z_C5F1A25D_77AE_4476_9041_2504ED85A630_.wvu.Rows" localSheetId="6" hidden="1">'waterverbruik'!$3:$28</definedName>
    <definedName name="Z_EABA49C1_ABAC_4D17_876D_66CC0762887C_.wvu.Cols" localSheetId="0" hidden="1">'energiegebruik'!$F:$F</definedName>
    <definedName name="Z_EABA49C1_ABAC_4D17_876D_66CC0762887C_.wvu.Rows" localSheetId="0" hidden="1">'energiegebruik'!$7:$11,'energiegebruik'!#REF!,'energiegebruik'!$18:$20,'energiegebruik'!$22:$25,'energiegebruik'!$28:$28,'energiegebruik'!$30:$31</definedName>
  </definedNames>
  <calcPr fullCalcOnLoad="1"/>
</workbook>
</file>

<file path=xl/comments1.xml><?xml version="1.0" encoding="utf-8"?>
<comments xmlns="http://schemas.openxmlformats.org/spreadsheetml/2006/main">
  <authors>
    <author>TEMP_CFG3</author>
    <author> </author>
    <author>Jan van Lievenoogen</author>
  </authors>
  <commentList>
    <comment ref="Q48" authorId="0">
      <text>
        <r>
          <rPr>
            <b/>
            <sz val="10"/>
            <rFont val="Arial"/>
            <family val="0"/>
          </rPr>
          <t>TEMP_CFG3:</t>
        </r>
        <r>
          <rPr>
            <sz val="10"/>
            <rFont val="Arial"/>
            <family val="0"/>
          </rPr>
          <t xml:space="preserve">
bijbetalen voor 2000
</t>
        </r>
      </text>
    </comment>
    <comment ref="P64" authorId="1">
      <text>
        <r>
          <rPr>
            <b/>
            <sz val="10"/>
            <rFont val="Arial"/>
            <family val="0"/>
          </rPr>
          <t xml:space="preserve"> :</t>
        </r>
        <r>
          <rPr>
            <sz val="10"/>
            <rFont val="Arial"/>
            <family val="0"/>
          </rPr>
          <t xml:space="preserve">
geschat verbruik 2005/2006 herberekend over een heel jaar
</t>
        </r>
      </text>
    </comment>
    <comment ref="Q61" authorId="1">
      <text>
        <r>
          <rPr>
            <b/>
            <sz val="10"/>
            <rFont val="Arial"/>
            <family val="0"/>
          </rPr>
          <t xml:space="preserve"> :</t>
        </r>
        <r>
          <rPr>
            <sz val="10"/>
            <rFont val="Arial"/>
            <family val="0"/>
          </rPr>
          <t xml:space="preserve">
bijbetalen over 2004
</t>
        </r>
      </text>
    </comment>
    <comment ref="P65" authorId="1">
      <text>
        <r>
          <rPr>
            <b/>
            <sz val="10"/>
            <rFont val="Arial"/>
            <family val="0"/>
          </rPr>
          <t xml:space="preserve"> :</t>
        </r>
        <r>
          <rPr>
            <sz val="10"/>
            <rFont val="Arial"/>
            <family val="0"/>
          </rPr>
          <t xml:space="preserve">
verbruik 2005
</t>
        </r>
      </text>
    </comment>
    <comment ref="J68" authorId="1">
      <text>
        <r>
          <rPr>
            <b/>
            <sz val="10"/>
            <rFont val="Arial"/>
            <family val="0"/>
          </rPr>
          <t xml:space="preserve"> :</t>
        </r>
        <r>
          <rPr>
            <sz val="10"/>
            <rFont val="Arial"/>
            <family val="0"/>
          </rPr>
          <t xml:space="preserve">
opgav inkomstenbelasting 25% tlv Hoge Peel</t>
        </r>
      </text>
    </comment>
    <comment ref="L73" authorId="1">
      <text>
        <r>
          <rPr>
            <b/>
            <sz val="10"/>
            <rFont val="Arial"/>
            <family val="0"/>
          </rPr>
          <t xml:space="preserve"> :April 2007 </t>
        </r>
        <r>
          <rPr>
            <sz val="10"/>
            <rFont val="Arial"/>
            <family val="0"/>
          </rPr>
          <t xml:space="preserve">
80 M3 extra vanwege lekkage aan het zwembad lekke zuigleiding veroorzaakt door de pergola
</t>
        </r>
      </text>
    </comment>
    <comment ref="P76" authorId="1">
      <text>
        <r>
          <rPr>
            <b/>
            <sz val="10"/>
            <rFont val="Arial"/>
            <family val="0"/>
          </rPr>
          <t xml:space="preserve"> :verwacht gebruik</t>
        </r>
        <r>
          <rPr>
            <sz val="10"/>
            <rFont val="Arial"/>
            <family val="0"/>
          </rPr>
          <t xml:space="preserve">
</t>
        </r>
      </text>
    </comment>
    <comment ref="P82" authorId="1">
      <text>
        <r>
          <rPr>
            <b/>
            <sz val="10"/>
            <rFont val="Arial"/>
            <family val="0"/>
          </rPr>
          <t xml:space="preserve"> :</t>
        </r>
        <r>
          <rPr>
            <sz val="10"/>
            <rFont val="Arial"/>
            <family val="0"/>
          </rPr>
          <t xml:space="preserve">
verwacht gebruik 2009
</t>
        </r>
      </text>
    </comment>
    <comment ref="N92" authorId="2">
      <text>
        <r>
          <rPr>
            <b/>
            <sz val="10"/>
            <rFont val="Arial"/>
            <family val="0"/>
          </rPr>
          <t>Jan van Lievenoogen:</t>
        </r>
        <r>
          <rPr>
            <sz val="10"/>
            <rFont val="Arial"/>
            <family val="0"/>
          </rPr>
          <t xml:space="preserve">
van 11-3 tot 19-10 2011
</t>
        </r>
        <r>
          <rPr>
            <b/>
            <sz val="10"/>
            <rFont val="Arial"/>
            <family val="0"/>
          </rPr>
          <t>Jan van Lievenoogen:</t>
        </r>
        <r>
          <rPr>
            <sz val="10"/>
            <rFont val="Arial"/>
            <family val="0"/>
          </rPr>
          <t xml:space="preserve">
0.0747/ kwh
</t>
        </r>
      </text>
    </comment>
    <comment ref="O92" authorId="2">
      <text>
        <r>
          <rPr>
            <b/>
            <sz val="10"/>
            <rFont val="Arial"/>
            <family val="0"/>
          </rPr>
          <t>Jan van Lievenoogen:</t>
        </r>
        <r>
          <rPr>
            <sz val="10"/>
            <rFont val="Arial"/>
            <family val="0"/>
          </rPr>
          <t xml:space="preserve">
tarief 0.0482/kwh
</t>
        </r>
      </text>
    </comment>
    <comment ref="D98" authorId="2">
      <text>
        <r>
          <rPr>
            <b/>
            <sz val="10"/>
            <rFont val="Arial"/>
            <family val="0"/>
          </rPr>
          <t>Jan van Lievenoogen:</t>
        </r>
        <r>
          <rPr>
            <sz val="10"/>
            <rFont val="Arial"/>
            <family val="0"/>
          </rPr>
          <t xml:space="preserve">
Emen van Benegas  vertegenwoordiger geeft deze prijs op 7-5-2012
</t>
        </r>
      </text>
    </comment>
    <comment ref="N97" authorId="2">
      <text>
        <r>
          <rPr>
            <b/>
            <sz val="10"/>
            <rFont val="Arial"/>
            <family val="0"/>
          </rPr>
          <t>Jan van Lievenoogen:</t>
        </r>
        <r>
          <rPr>
            <sz val="10"/>
            <rFont val="Arial"/>
            <family val="0"/>
          </rPr>
          <t xml:space="preserve">
van 5-2-12 tot 5-5-13
excl teruggeleverd 570 kwh</t>
        </r>
      </text>
    </comment>
    <comment ref="O97" authorId="2">
      <text>
        <r>
          <rPr>
            <b/>
            <sz val="10"/>
            <rFont val="Arial"/>
            <family val="0"/>
          </rPr>
          <t>Jan van Lievenoogen:</t>
        </r>
        <r>
          <rPr>
            <sz val="10"/>
            <rFont val="Arial"/>
            <family val="0"/>
          </rPr>
          <t xml:space="preserve">
van 5-2-12 tot 5-5 13
excl teruglevering  279 kwh</t>
        </r>
      </text>
    </comment>
    <comment ref="P98" authorId="2">
      <text>
        <r>
          <rPr>
            <b/>
            <sz val="10"/>
            <rFont val="Arial"/>
            <family val="0"/>
          </rPr>
          <t>Jan van Lievenoogen:</t>
        </r>
        <r>
          <rPr>
            <sz val="10"/>
            <rFont val="Arial"/>
            <family val="0"/>
          </rPr>
          <t xml:space="preserve">
omgerekend op jaarbasis zonder terugwinning</t>
        </r>
      </text>
    </comment>
    <comment ref="P99" authorId="2">
      <text>
        <r>
          <rPr>
            <b/>
            <sz val="10"/>
            <rFont val="Arial"/>
            <family val="0"/>
          </rPr>
          <t>Jan van Lievenoogen:</t>
        </r>
        <r>
          <rPr>
            <sz val="10"/>
            <rFont val="Arial"/>
            <family val="0"/>
          </rPr>
          <t xml:space="preserve">
met teruglevering vanaf september 2012</t>
        </r>
      </text>
    </comment>
  </commentList>
</comments>
</file>

<file path=xl/sharedStrings.xml><?xml version="1.0" encoding="utf-8"?>
<sst xmlns="http://schemas.openxmlformats.org/spreadsheetml/2006/main" count="170" uniqueCount="68">
  <si>
    <t>kosten/mnd</t>
  </si>
  <si>
    <t>datum</t>
  </si>
  <si>
    <t>aantal liters</t>
  </si>
  <si>
    <t>prijs/l</t>
  </si>
  <si>
    <t>bedrag</t>
  </si>
  <si>
    <t>literprijs</t>
  </si>
  <si>
    <t>winter 95</t>
  </si>
  <si>
    <t xml:space="preserve"> </t>
  </si>
  <si>
    <t>winter 96</t>
  </si>
  <si>
    <t>winter 97</t>
  </si>
  <si>
    <t>july 97</t>
  </si>
  <si>
    <t>stooktabel</t>
  </si>
  <si>
    <t>jaarverbruik</t>
  </si>
  <si>
    <t>streefverbr</t>
  </si>
  <si>
    <t>kosten/wk</t>
  </si>
  <si>
    <t>tot sinds 11-3</t>
  </si>
  <si>
    <t>tot kosten</t>
  </si>
  <si>
    <t>10-12 1999</t>
  </si>
  <si>
    <t>Netto</t>
  </si>
  <si>
    <t>bruto</t>
  </si>
  <si>
    <t>winter1999</t>
  </si>
  <si>
    <t>winter 2000</t>
  </si>
  <si>
    <t>Winter 2001</t>
  </si>
  <si>
    <t>16 12 2003</t>
  </si>
  <si>
    <t>winter 2003</t>
  </si>
  <si>
    <t>aandeel hoge peel</t>
  </si>
  <si>
    <t xml:space="preserve">datum </t>
  </si>
  <si>
    <t>tijdstip</t>
  </si>
  <si>
    <t>meterstand</t>
  </si>
  <si>
    <t>m3</t>
  </si>
  <si>
    <t>x0,1</t>
  </si>
  <si>
    <t>x0,01</t>
  </si>
  <si>
    <t>x0,001</t>
  </si>
  <si>
    <t>x0,0001</t>
  </si>
  <si>
    <t>verbruik</t>
  </si>
  <si>
    <t>opmerking</t>
  </si>
  <si>
    <t>Dagstroom</t>
  </si>
  <si>
    <t>Nachtstroom</t>
  </si>
  <si>
    <t>totaal</t>
  </si>
  <si>
    <t>Jaar</t>
  </si>
  <si>
    <t>bedrag/mnd</t>
  </si>
  <si>
    <t>Weekverbruik</t>
  </si>
  <si>
    <t>bl+rd</t>
  </si>
  <si>
    <t>rd</t>
  </si>
  <si>
    <t>Meterstand hoog</t>
  </si>
  <si>
    <t>Meterstand dal</t>
  </si>
  <si>
    <t>r+b</t>
  </si>
  <si>
    <t xml:space="preserve">b </t>
  </si>
  <si>
    <t>Weekverbruik hoog</t>
  </si>
  <si>
    <t>Weekverbruik dal</t>
  </si>
  <si>
    <t>Pinksteren</t>
  </si>
  <si>
    <t>b en zwembad spoelen</t>
  </si>
  <si>
    <t>b+r</t>
  </si>
  <si>
    <t>1m3 propaan, gas = 4liter vloeibaar is 4x6250=25000 kcal</t>
  </si>
  <si>
    <t>1m3 aardgas =7200 kcal</t>
  </si>
  <si>
    <t>Datum</t>
  </si>
  <si>
    <t>verandering/mt</t>
  </si>
  <si>
    <t>verandering/100l</t>
  </si>
  <si>
    <t>stroom laag</t>
  </si>
  <si>
    <t>stroom hoog</t>
  </si>
  <si>
    <t>teruglevering hoog</t>
  </si>
  <si>
    <t>teruglevering laag</t>
  </si>
  <si>
    <t>verbruikkwh</t>
  </si>
  <si>
    <t>tarief</t>
  </si>
  <si>
    <t>kosten</t>
  </si>
  <si>
    <t xml:space="preserve">investering  </t>
  </si>
  <si>
    <t>susidie</t>
  </si>
  <si>
    <t>netto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</si>
</sst>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_-;&quot;€&quot;\ #,##0.00\-"/>
    <numFmt numFmtId="165" formatCode="_-* #,##0_-;_-* #,##0\-;_-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&quot;fl&quot;\ #,##0.00_-"/>
    <numFmt numFmtId="171" formatCode="_-\ \€\ * #,##0.00.\-;\-\ \€\ * #,##0.00\ ;_-\€\ * &quot;-&quot;_-;_-@_-"/>
    <numFmt numFmtId="172" formatCode="&quot;fl&quot;\ #,##0.000_-"/>
    <numFmt numFmtId="173" formatCode="_-\ \€\ * #,##0\ ;\-\ \€\ * #,##0\ ;_-\€\ * &quot;-&quot;_-;_-@_-"/>
    <numFmt numFmtId="174" formatCode="_-\ \€\ * #,##0.00\ ;\-\ \€\ * #,##0.00\ ;_-\€\ * &quot;-&quot;_-;_-@_-"/>
    <numFmt numFmtId="175" formatCode="&quot;€&quot;\ #,##0.00_-"/>
    <numFmt numFmtId="176" formatCode="[$-F800]dddd\,\ mmmm\ dd\,\ yyyy"/>
    <numFmt numFmtId="177" formatCode="&quot;€&quot;\ #,##0.00"/>
    <numFmt numFmtId="178" formatCode="&quot;€&quot;\ #,##0.00;[Red]&quot;€&quot;\ #,##0.00"/>
    <numFmt numFmtId="179" formatCode="_-&quot;F&quot;\ * #.##000_-;_-&quot;F&quot;\ * #.##000\-;_-&quot;F&quot;\ * &quot;-&quot;??_-;_-@_-"/>
    <numFmt numFmtId="180" formatCode="m/d/yyyy"/>
    <numFmt numFmtId="181" formatCode="[$-413]dddd\ d\ mmmm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17" fontId="0" fillId="0" borderId="0" xfId="0" applyNumberFormat="1" applyAlignment="1">
      <alignment/>
    </xf>
    <xf numFmtId="169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75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textRotation="135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176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Gasverbruik Hollander 16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17075"/>
          <c:y val="0.1555"/>
          <c:w val="0.49125"/>
          <c:h val="0.60625"/>
        </c:manualLayout>
      </c:layout>
      <c:area3DChart>
        <c:grouping val="standard"/>
        <c:varyColors val="0"/>
        <c:ser>
          <c:idx val="0"/>
          <c:order val="0"/>
          <c:tx>
            <c:strRef>
              <c:f>energiegebruik!$E$3</c:f>
              <c:strCache>
                <c:ptCount val="1"/>
                <c:pt idx="0">
                  <c:v>850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energiegebruik!$A$4:$A$32</c:f>
              <c:strCache>
                <c:ptCount val="29"/>
                <c:pt idx="0">
                  <c:v>jan-95</c:v>
                </c:pt>
                <c:pt idx="1">
                  <c:v>feb-95</c:v>
                </c:pt>
                <c:pt idx="2">
                  <c:v>winter 95</c:v>
                </c:pt>
                <c:pt idx="3">
                  <c:v>mrt-95</c:v>
                </c:pt>
                <c:pt idx="4">
                  <c:v>apr-95</c:v>
                </c:pt>
                <c:pt idx="5">
                  <c:v>mei-95</c:v>
                </c:pt>
                <c:pt idx="6">
                  <c:v>jun-95</c:v>
                </c:pt>
                <c:pt idx="7">
                  <c:v>jul-95</c:v>
                </c:pt>
                <c:pt idx="8">
                  <c:v>aug-95</c:v>
                </c:pt>
                <c:pt idx="9">
                  <c:v>nov-95</c:v>
                </c:pt>
                <c:pt idx="10">
                  <c:v>dec-95</c:v>
                </c:pt>
                <c:pt idx="11">
                  <c:v>jan-96</c:v>
                </c:pt>
                <c:pt idx="12">
                  <c:v>feb-96</c:v>
                </c:pt>
                <c:pt idx="13">
                  <c:v>winter 96</c:v>
                </c:pt>
                <c:pt idx="14">
                  <c:v>mrt-96</c:v>
                </c:pt>
                <c:pt idx="15">
                  <c:v>apr-96</c:v>
                </c:pt>
                <c:pt idx="16">
                  <c:v>mei-96</c:v>
                </c:pt>
                <c:pt idx="17">
                  <c:v>jun-96</c:v>
                </c:pt>
                <c:pt idx="18">
                  <c:v>jul-96</c:v>
                </c:pt>
                <c:pt idx="19">
                  <c:v>aug-96</c:v>
                </c:pt>
                <c:pt idx="20">
                  <c:v>sep-96</c:v>
                </c:pt>
                <c:pt idx="21">
                  <c:v>okt-96</c:v>
                </c:pt>
                <c:pt idx="22">
                  <c:v>nov-96</c:v>
                </c:pt>
                <c:pt idx="23">
                  <c:v>dec-96</c:v>
                </c:pt>
                <c:pt idx="24">
                  <c:v>jan-97</c:v>
                </c:pt>
                <c:pt idx="25">
                  <c:v>feb-97</c:v>
                </c:pt>
                <c:pt idx="26">
                  <c:v>mrt-97</c:v>
                </c:pt>
                <c:pt idx="27">
                  <c:v>apr-97</c:v>
                </c:pt>
                <c:pt idx="28">
                  <c:v>winter 97</c:v>
                </c:pt>
              </c:strCache>
            </c:strRef>
          </c:cat>
          <c:val>
            <c:numRef>
              <c:f>energiegebruik!$E$4:$E$32</c:f>
              <c:numCache>
                <c:ptCount val="29"/>
                <c:pt idx="0">
                  <c:v>900</c:v>
                </c:pt>
                <c:pt idx="1">
                  <c:v>950</c:v>
                </c:pt>
                <c:pt idx="2">
                  <c:v>2700</c:v>
                </c:pt>
                <c:pt idx="8">
                  <c:v>377</c:v>
                </c:pt>
                <c:pt idx="9">
                  <c:v>950</c:v>
                </c:pt>
                <c:pt idx="10">
                  <c:v>850</c:v>
                </c:pt>
                <c:pt idx="11">
                  <c:v>1050</c:v>
                </c:pt>
                <c:pt idx="12">
                  <c:v>1000</c:v>
                </c:pt>
                <c:pt idx="13">
                  <c:v>3850</c:v>
                </c:pt>
                <c:pt idx="14">
                  <c:v>3850</c:v>
                </c:pt>
                <c:pt idx="17">
                  <c:v>1250</c:v>
                </c:pt>
                <c:pt idx="22">
                  <c:v>1000</c:v>
                </c:pt>
                <c:pt idx="23">
                  <c:v>1050</c:v>
                </c:pt>
                <c:pt idx="25">
                  <c:v>950</c:v>
                </c:pt>
                <c:pt idx="28">
                  <c:v>3000</c:v>
                </c:pt>
              </c:numCache>
            </c:numRef>
          </c:val>
        </c:ser>
        <c:ser>
          <c:idx val="1"/>
          <c:order val="1"/>
          <c:tx>
            <c:strRef>
              <c:f>energiegebruik!$F$3</c:f>
              <c:strCache>
                <c:ptCount val="1"/>
                <c:pt idx="0">
                  <c:v>fl 53,10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energiegebruik!$A$4:$A$32</c:f>
              <c:strCache>
                <c:ptCount val="29"/>
                <c:pt idx="0">
                  <c:v>jan-95</c:v>
                </c:pt>
                <c:pt idx="1">
                  <c:v>feb-95</c:v>
                </c:pt>
                <c:pt idx="2">
                  <c:v>winter 95</c:v>
                </c:pt>
                <c:pt idx="3">
                  <c:v>mrt-95</c:v>
                </c:pt>
                <c:pt idx="4">
                  <c:v>apr-95</c:v>
                </c:pt>
                <c:pt idx="5">
                  <c:v>mei-95</c:v>
                </c:pt>
                <c:pt idx="6">
                  <c:v>jun-95</c:v>
                </c:pt>
                <c:pt idx="7">
                  <c:v>jul-95</c:v>
                </c:pt>
                <c:pt idx="8">
                  <c:v>aug-95</c:v>
                </c:pt>
                <c:pt idx="9">
                  <c:v>nov-95</c:v>
                </c:pt>
                <c:pt idx="10">
                  <c:v>dec-95</c:v>
                </c:pt>
                <c:pt idx="11">
                  <c:v>jan-96</c:v>
                </c:pt>
                <c:pt idx="12">
                  <c:v>feb-96</c:v>
                </c:pt>
                <c:pt idx="13">
                  <c:v>winter 96</c:v>
                </c:pt>
                <c:pt idx="14">
                  <c:v>mrt-96</c:v>
                </c:pt>
                <c:pt idx="15">
                  <c:v>apr-96</c:v>
                </c:pt>
                <c:pt idx="16">
                  <c:v>mei-96</c:v>
                </c:pt>
                <c:pt idx="17">
                  <c:v>jun-96</c:v>
                </c:pt>
                <c:pt idx="18">
                  <c:v>jul-96</c:v>
                </c:pt>
                <c:pt idx="19">
                  <c:v>aug-96</c:v>
                </c:pt>
                <c:pt idx="20">
                  <c:v>sep-96</c:v>
                </c:pt>
                <c:pt idx="21">
                  <c:v>okt-96</c:v>
                </c:pt>
                <c:pt idx="22">
                  <c:v>nov-96</c:v>
                </c:pt>
                <c:pt idx="23">
                  <c:v>dec-96</c:v>
                </c:pt>
                <c:pt idx="24">
                  <c:v>jan-97</c:v>
                </c:pt>
                <c:pt idx="25">
                  <c:v>feb-97</c:v>
                </c:pt>
                <c:pt idx="26">
                  <c:v>mrt-97</c:v>
                </c:pt>
                <c:pt idx="27">
                  <c:v>apr-97</c:v>
                </c:pt>
                <c:pt idx="28">
                  <c:v>winter 97</c:v>
                </c:pt>
              </c:strCache>
            </c:strRef>
          </c:cat>
          <c:val>
            <c:numRef>
              <c:f>energiegebruik!$F$4:$F$32</c:f>
              <c:numCache>
                <c:ptCount val="29"/>
                <c:pt idx="0">
                  <c:v>56.14</c:v>
                </c:pt>
                <c:pt idx="1">
                  <c:v>61</c:v>
                </c:pt>
                <c:pt idx="2">
                  <c:v>56.74666666666667</c:v>
                </c:pt>
                <c:pt idx="8">
                  <c:v>51</c:v>
                </c:pt>
                <c:pt idx="9">
                  <c:v>53.3</c:v>
                </c:pt>
                <c:pt idx="10">
                  <c:v>53</c:v>
                </c:pt>
                <c:pt idx="11">
                  <c:v>61.1</c:v>
                </c:pt>
                <c:pt idx="12">
                  <c:v>61.01</c:v>
                </c:pt>
                <c:pt idx="13">
                  <c:v>58.37</c:v>
                </c:pt>
                <c:pt idx="17">
                  <c:v>58.67</c:v>
                </c:pt>
                <c:pt idx="22">
                  <c:v>65.43</c:v>
                </c:pt>
                <c:pt idx="23">
                  <c:v>0.8482380952380952</c:v>
                </c:pt>
                <c:pt idx="24">
                  <c:v>0</c:v>
                </c:pt>
                <c:pt idx="25">
                  <c:v>0.9765473684210526</c:v>
                </c:pt>
                <c:pt idx="28">
                  <c:v>0.9765473684210526</c:v>
                </c:pt>
              </c:numCache>
            </c:numRef>
          </c:val>
        </c:ser>
        <c:ser>
          <c:idx val="2"/>
          <c:order val="2"/>
          <c:tx>
            <c:strRef>
              <c:f>energiegebruik!$H$3</c:f>
              <c:strCache>
                <c:ptCount val="1"/>
                <c:pt idx="0">
                  <c:v> F 532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energiegebruik!$A$4:$A$32</c:f>
              <c:strCache>
                <c:ptCount val="29"/>
                <c:pt idx="0">
                  <c:v>jan-95</c:v>
                </c:pt>
                <c:pt idx="1">
                  <c:v>feb-95</c:v>
                </c:pt>
                <c:pt idx="2">
                  <c:v>winter 95</c:v>
                </c:pt>
                <c:pt idx="3">
                  <c:v>mrt-95</c:v>
                </c:pt>
                <c:pt idx="4">
                  <c:v>apr-95</c:v>
                </c:pt>
                <c:pt idx="5">
                  <c:v>mei-95</c:v>
                </c:pt>
                <c:pt idx="6">
                  <c:v>jun-95</c:v>
                </c:pt>
                <c:pt idx="7">
                  <c:v>jul-95</c:v>
                </c:pt>
                <c:pt idx="8">
                  <c:v>aug-95</c:v>
                </c:pt>
                <c:pt idx="9">
                  <c:v>nov-95</c:v>
                </c:pt>
                <c:pt idx="10">
                  <c:v>dec-95</c:v>
                </c:pt>
                <c:pt idx="11">
                  <c:v>jan-96</c:v>
                </c:pt>
                <c:pt idx="12">
                  <c:v>feb-96</c:v>
                </c:pt>
                <c:pt idx="13">
                  <c:v>winter 96</c:v>
                </c:pt>
                <c:pt idx="14">
                  <c:v>mrt-96</c:v>
                </c:pt>
                <c:pt idx="15">
                  <c:v>apr-96</c:v>
                </c:pt>
                <c:pt idx="16">
                  <c:v>mei-96</c:v>
                </c:pt>
                <c:pt idx="17">
                  <c:v>jun-96</c:v>
                </c:pt>
                <c:pt idx="18">
                  <c:v>jul-96</c:v>
                </c:pt>
                <c:pt idx="19">
                  <c:v>aug-96</c:v>
                </c:pt>
                <c:pt idx="20">
                  <c:v>sep-96</c:v>
                </c:pt>
                <c:pt idx="21">
                  <c:v>okt-96</c:v>
                </c:pt>
                <c:pt idx="22">
                  <c:v>nov-96</c:v>
                </c:pt>
                <c:pt idx="23">
                  <c:v>dec-96</c:v>
                </c:pt>
                <c:pt idx="24">
                  <c:v>jan-97</c:v>
                </c:pt>
                <c:pt idx="25">
                  <c:v>feb-97</c:v>
                </c:pt>
                <c:pt idx="26">
                  <c:v>mrt-97</c:v>
                </c:pt>
                <c:pt idx="27">
                  <c:v>apr-97</c:v>
                </c:pt>
                <c:pt idx="28">
                  <c:v>winter 97</c:v>
                </c:pt>
              </c:strCache>
            </c:strRef>
          </c:cat>
          <c:val>
            <c:numRef>
              <c:f>energiegebruik!$H$4:$H$32</c:f>
              <c:numCache>
                <c:ptCount val="29"/>
                <c:pt idx="0">
                  <c:v>593</c:v>
                </c:pt>
                <c:pt idx="1">
                  <c:v>681</c:v>
                </c:pt>
                <c:pt idx="2">
                  <c:v>1806</c:v>
                </c:pt>
                <c:pt idx="8">
                  <c:v>235</c:v>
                </c:pt>
                <c:pt idx="9">
                  <c:v>594</c:v>
                </c:pt>
                <c:pt idx="10">
                  <c:v>555.5</c:v>
                </c:pt>
                <c:pt idx="11">
                  <c:v>752</c:v>
                </c:pt>
                <c:pt idx="12">
                  <c:v>716.87</c:v>
                </c:pt>
                <c:pt idx="13">
                  <c:v>2618.37</c:v>
                </c:pt>
                <c:pt idx="17">
                  <c:v>861.715625</c:v>
                </c:pt>
                <c:pt idx="22">
                  <c:v>768.8</c:v>
                </c:pt>
                <c:pt idx="23">
                  <c:v>890.65</c:v>
                </c:pt>
                <c:pt idx="25">
                  <c:v>927.72</c:v>
                </c:pt>
                <c:pt idx="28">
                  <c:v>2587.17</c:v>
                </c:pt>
              </c:numCache>
            </c:numRef>
          </c:val>
        </c:ser>
        <c:gapDepth val="50"/>
        <c:axId val="11257458"/>
        <c:axId val="34208259"/>
        <c:axId val="39438876"/>
      </c:area3DChart>
      <c:catAx>
        <c:axId val="1125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86"/>
              <c:y val="0.26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8259"/>
        <c:crosses val="autoZero"/>
        <c:auto val="0"/>
        <c:lblOffset val="100"/>
        <c:tickLblSkip val="2"/>
        <c:noMultiLvlLbl val="0"/>
      </c:catAx>
      <c:valAx>
        <c:axId val="34208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prijs/liter</a:t>
                </a:r>
              </a:p>
            </c:rich>
          </c:tx>
          <c:layout>
            <c:manualLayout>
              <c:xMode val="factor"/>
              <c:yMode val="factor"/>
              <c:x val="-0.19625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57458"/>
        <c:crossesAt val="1"/>
        <c:crossBetween val="midCat"/>
        <c:dispUnits/>
      </c:valAx>
      <c:serAx>
        <c:axId val="3943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liters</a:t>
                </a:r>
              </a:p>
            </c:rich>
          </c:tx>
          <c:layout>
            <c:manualLayout>
              <c:xMode val="factor"/>
              <c:yMode val="factor"/>
              <c:x val="0.20425"/>
              <c:y val="0.2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208259"/>
        <c:crosses val="autoZero"/>
        <c:tickLblSkip val="16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75"/>
          <c:y val="0.4335"/>
          <c:w val="0.15325"/>
          <c:h val="0.2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gasverbruik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20025"/>
          <c:y val="0.1005"/>
          <c:w val="0.76475"/>
          <c:h val="0.75875"/>
        </c:manualLayout>
      </c:layout>
      <c:bar3DChart>
        <c:barDir val="col"/>
        <c:grouping val="standard"/>
        <c:varyColors val="0"/>
        <c:ser>
          <c:idx val="2"/>
          <c:order val="0"/>
          <c:tx>
            <c:v>energiegebruik!#REF!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energiegebruik!$A$1:$A$35</c:f>
              <c:strCache>
                <c:ptCount val="35"/>
                <c:pt idx="2">
                  <c:v>nov-94</c:v>
                </c:pt>
                <c:pt idx="3">
                  <c:v>jan-95</c:v>
                </c:pt>
                <c:pt idx="4">
                  <c:v>feb-95</c:v>
                </c:pt>
                <c:pt idx="5">
                  <c:v>winter 95</c:v>
                </c:pt>
                <c:pt idx="6">
                  <c:v>mrt-95</c:v>
                </c:pt>
                <c:pt idx="7">
                  <c:v>apr-95</c:v>
                </c:pt>
                <c:pt idx="8">
                  <c:v>mei-95</c:v>
                </c:pt>
                <c:pt idx="9">
                  <c:v>jun-95</c:v>
                </c:pt>
                <c:pt idx="10">
                  <c:v>jul-95</c:v>
                </c:pt>
                <c:pt idx="11">
                  <c:v>aug-95</c:v>
                </c:pt>
                <c:pt idx="12">
                  <c:v>nov-95</c:v>
                </c:pt>
                <c:pt idx="13">
                  <c:v>dec-95</c:v>
                </c:pt>
                <c:pt idx="14">
                  <c:v>jan-96</c:v>
                </c:pt>
                <c:pt idx="15">
                  <c:v>feb-96</c:v>
                </c:pt>
                <c:pt idx="16">
                  <c:v>winter 96</c:v>
                </c:pt>
                <c:pt idx="17">
                  <c:v>mrt-96</c:v>
                </c:pt>
                <c:pt idx="18">
                  <c:v>apr-96</c:v>
                </c:pt>
                <c:pt idx="19">
                  <c:v>mei-96</c:v>
                </c:pt>
                <c:pt idx="20">
                  <c:v>jun-96</c:v>
                </c:pt>
                <c:pt idx="21">
                  <c:v>jul-96</c:v>
                </c:pt>
                <c:pt idx="22">
                  <c:v>aug-96</c:v>
                </c:pt>
                <c:pt idx="23">
                  <c:v>sep-96</c:v>
                </c:pt>
                <c:pt idx="24">
                  <c:v>okt-96</c:v>
                </c:pt>
                <c:pt idx="25">
                  <c:v>nov-96</c:v>
                </c:pt>
                <c:pt idx="26">
                  <c:v>dec-96</c:v>
                </c:pt>
                <c:pt idx="27">
                  <c:v>jan-97</c:v>
                </c:pt>
                <c:pt idx="28">
                  <c:v>feb-97</c:v>
                </c:pt>
                <c:pt idx="29">
                  <c:v>mrt-97</c:v>
                </c:pt>
                <c:pt idx="30">
                  <c:v>apr-97</c:v>
                </c:pt>
                <c:pt idx="31">
                  <c:v>winter 97</c:v>
                </c:pt>
                <c:pt idx="32">
                  <c:v>july 97</c:v>
                </c:pt>
                <c:pt idx="33">
                  <c:v>dec-97</c:v>
                </c:pt>
                <c:pt idx="34">
                  <c:v>feb-98</c:v>
                </c:pt>
              </c:strCache>
            </c:strRef>
          </c:cat>
          <c:val>
            <c:numRef>
              <c:f>energiegebruik!$C$1:$C$37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0.6258823529411764</c:v>
                </c:pt>
                <c:pt idx="3">
                  <c:v>0.6588888888888889</c:v>
                </c:pt>
                <c:pt idx="4">
                  <c:v>0.716842105263158</c:v>
                </c:pt>
                <c:pt idx="5">
                  <c:v>0.6688888888888889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0.623342175066313</c:v>
                </c:pt>
                <c:pt idx="12">
                  <c:v>0.6252631578947369</c:v>
                </c:pt>
                <c:pt idx="13">
                  <c:v>0.6535294117647059</c:v>
                </c:pt>
                <c:pt idx="14">
                  <c:v>0.7161904761904762</c:v>
                </c:pt>
                <c:pt idx="15">
                  <c:v>0.71687</c:v>
                </c:pt>
                <c:pt idx="16">
                  <c:v>0.6800961038961039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0.6893725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0.7687999999999999</c:v>
                </c:pt>
                <c:pt idx="26">
                  <c:v>0.8482380952380952</c:v>
                </c:pt>
                <c:pt idx="27">
                  <c:v>0</c:v>
                </c:pt>
                <c:pt idx="28">
                  <c:v>0.9765473684210526</c:v>
                </c:pt>
                <c:pt idx="29">
                  <c:v>0</c:v>
                </c:pt>
                <c:pt idx="30">
                  <c:v>0</c:v>
                </c:pt>
                <c:pt idx="32">
                  <c:v>0.7596375000000001</c:v>
                </c:pt>
                <c:pt idx="33">
                  <c:v>0.8114285714285714</c:v>
                </c:pt>
                <c:pt idx="34">
                  <c:v>0.7810526315789473</c:v>
                </c:pt>
                <c:pt idx="35">
                  <c:v>0.7541</c:v>
                </c:pt>
                <c:pt idx="36">
                  <c:v>1.0430625</c:v>
                </c:pt>
              </c:numCache>
            </c:numRef>
          </c:val>
          <c:shape val="box"/>
        </c:ser>
        <c:ser>
          <c:idx val="0"/>
          <c:order val="1"/>
          <c:tx>
            <c:v>energiegebruik!#REF!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energiegebruik!$A$1:$A$35</c:f>
              <c:strCache>
                <c:ptCount val="35"/>
                <c:pt idx="2">
                  <c:v>nov-94</c:v>
                </c:pt>
                <c:pt idx="3">
                  <c:v>jan-95</c:v>
                </c:pt>
                <c:pt idx="4">
                  <c:v>feb-95</c:v>
                </c:pt>
                <c:pt idx="5">
                  <c:v>winter 95</c:v>
                </c:pt>
                <c:pt idx="6">
                  <c:v>mrt-95</c:v>
                </c:pt>
                <c:pt idx="7">
                  <c:v>apr-95</c:v>
                </c:pt>
                <c:pt idx="8">
                  <c:v>mei-95</c:v>
                </c:pt>
                <c:pt idx="9">
                  <c:v>jun-95</c:v>
                </c:pt>
                <c:pt idx="10">
                  <c:v>jul-95</c:v>
                </c:pt>
                <c:pt idx="11">
                  <c:v>aug-95</c:v>
                </c:pt>
                <c:pt idx="12">
                  <c:v>nov-95</c:v>
                </c:pt>
                <c:pt idx="13">
                  <c:v>dec-95</c:v>
                </c:pt>
                <c:pt idx="14">
                  <c:v>jan-96</c:v>
                </c:pt>
                <c:pt idx="15">
                  <c:v>feb-96</c:v>
                </c:pt>
                <c:pt idx="16">
                  <c:v>winter 96</c:v>
                </c:pt>
                <c:pt idx="17">
                  <c:v>mrt-96</c:v>
                </c:pt>
                <c:pt idx="18">
                  <c:v>apr-96</c:v>
                </c:pt>
                <c:pt idx="19">
                  <c:v>mei-96</c:v>
                </c:pt>
                <c:pt idx="20">
                  <c:v>jun-96</c:v>
                </c:pt>
                <c:pt idx="21">
                  <c:v>jul-96</c:v>
                </c:pt>
                <c:pt idx="22">
                  <c:v>aug-96</c:v>
                </c:pt>
                <c:pt idx="23">
                  <c:v>sep-96</c:v>
                </c:pt>
                <c:pt idx="24">
                  <c:v>okt-96</c:v>
                </c:pt>
                <c:pt idx="25">
                  <c:v>nov-96</c:v>
                </c:pt>
                <c:pt idx="26">
                  <c:v>dec-96</c:v>
                </c:pt>
                <c:pt idx="27">
                  <c:v>jan-97</c:v>
                </c:pt>
                <c:pt idx="28">
                  <c:v>feb-97</c:v>
                </c:pt>
                <c:pt idx="29">
                  <c:v>mrt-97</c:v>
                </c:pt>
                <c:pt idx="30">
                  <c:v>apr-97</c:v>
                </c:pt>
                <c:pt idx="31">
                  <c:v>winter 97</c:v>
                </c:pt>
                <c:pt idx="32">
                  <c:v>july 97</c:v>
                </c:pt>
                <c:pt idx="33">
                  <c:v>dec-97</c:v>
                </c:pt>
                <c:pt idx="34">
                  <c:v>feb-98</c:v>
                </c:pt>
              </c:strCache>
            </c:strRef>
          </c:cat>
          <c:val>
            <c:numRef>
              <c:f>energiegebruik!$H$1:$H$37</c:f>
              <c:numCache>
                <c:ptCount val="37"/>
                <c:pt idx="0">
                  <c:v>0</c:v>
                </c:pt>
                <c:pt idx="2">
                  <c:v>532</c:v>
                </c:pt>
                <c:pt idx="3">
                  <c:v>593</c:v>
                </c:pt>
                <c:pt idx="4">
                  <c:v>681</c:v>
                </c:pt>
                <c:pt idx="5">
                  <c:v>1806</c:v>
                </c:pt>
                <c:pt idx="11">
                  <c:v>235</c:v>
                </c:pt>
                <c:pt idx="12">
                  <c:v>594</c:v>
                </c:pt>
                <c:pt idx="13">
                  <c:v>555.5</c:v>
                </c:pt>
                <c:pt idx="14">
                  <c:v>752</c:v>
                </c:pt>
                <c:pt idx="15">
                  <c:v>716.87</c:v>
                </c:pt>
                <c:pt idx="16">
                  <c:v>2618.37</c:v>
                </c:pt>
                <c:pt idx="20">
                  <c:v>861.715625</c:v>
                </c:pt>
                <c:pt idx="25">
                  <c:v>768.8</c:v>
                </c:pt>
                <c:pt idx="26">
                  <c:v>890.65</c:v>
                </c:pt>
                <c:pt idx="28">
                  <c:v>927.72</c:v>
                </c:pt>
                <c:pt idx="31">
                  <c:v>2587.17</c:v>
                </c:pt>
                <c:pt idx="32">
                  <c:v>607.71</c:v>
                </c:pt>
                <c:pt idx="33">
                  <c:v>852</c:v>
                </c:pt>
                <c:pt idx="34">
                  <c:v>742</c:v>
                </c:pt>
                <c:pt idx="35">
                  <c:v>301.64</c:v>
                </c:pt>
                <c:pt idx="36">
                  <c:v>2503.35</c:v>
                </c:pt>
              </c:numCache>
            </c:numRef>
          </c:val>
          <c:shape val="box"/>
        </c:ser>
        <c:gapDepth val="50"/>
        <c:shape val="box"/>
        <c:axId val="19405565"/>
        <c:axId val="40432358"/>
        <c:axId val="28346903"/>
      </c:bar3DChart>
      <c:catAx>
        <c:axId val="1940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periode</a:t>
                </a:r>
              </a:p>
            </c:rich>
          </c:tx>
          <c:layout>
            <c:manualLayout>
              <c:xMode val="factor"/>
              <c:yMode val="factor"/>
              <c:x val="0.009"/>
              <c:y val="0.18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32358"/>
        <c:crosses val="autoZero"/>
        <c:auto val="0"/>
        <c:lblOffset val="100"/>
        <c:tickLblSkip val="2"/>
        <c:noMultiLvlLbl val="0"/>
      </c:catAx>
      <c:valAx>
        <c:axId val="4043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aantal liters</a:t>
                </a:r>
              </a:p>
            </c:rich>
          </c:tx>
          <c:layout>
            <c:manualLayout>
              <c:xMode val="factor"/>
              <c:yMode val="factor"/>
              <c:x val="-0.18425"/>
              <c:y val="0.0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5565"/>
        <c:crossesAt val="1"/>
        <c:crossBetween val="between"/>
        <c:dispUnits/>
      </c:valAx>
      <c:serAx>
        <c:axId val="283469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432358"/>
        <c:crosses val="autoZero"/>
        <c:tickLblSkip val="5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gasverbruik 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22"/>
          <c:w val="0.68225"/>
          <c:h val="0.77225"/>
        </c:manualLayout>
      </c:layout>
      <c:lineChart>
        <c:grouping val="standard"/>
        <c:varyColors val="0"/>
        <c:ser>
          <c:idx val="2"/>
          <c:order val="0"/>
          <c:tx>
            <c:strRef>
              <c:f>energiegebruik!$B$2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energiegebruik!$A$3:$A$37</c:f>
              <c:strCache>
                <c:ptCount val="35"/>
                <c:pt idx="0">
                  <c:v>nov-94</c:v>
                </c:pt>
                <c:pt idx="1">
                  <c:v>jan-95</c:v>
                </c:pt>
                <c:pt idx="2">
                  <c:v>feb-95</c:v>
                </c:pt>
                <c:pt idx="3">
                  <c:v>winter 95</c:v>
                </c:pt>
                <c:pt idx="4">
                  <c:v>mrt-95</c:v>
                </c:pt>
                <c:pt idx="5">
                  <c:v>apr-95</c:v>
                </c:pt>
                <c:pt idx="6">
                  <c:v>mei-95</c:v>
                </c:pt>
                <c:pt idx="7">
                  <c:v>jun-95</c:v>
                </c:pt>
                <c:pt idx="8">
                  <c:v>jul-95</c:v>
                </c:pt>
                <c:pt idx="9">
                  <c:v>aug-95</c:v>
                </c:pt>
                <c:pt idx="10">
                  <c:v>nov-95</c:v>
                </c:pt>
                <c:pt idx="11">
                  <c:v>dec-95</c:v>
                </c:pt>
                <c:pt idx="12">
                  <c:v>jan-96</c:v>
                </c:pt>
                <c:pt idx="13">
                  <c:v>feb-96</c:v>
                </c:pt>
                <c:pt idx="14">
                  <c:v>winter 96</c:v>
                </c:pt>
                <c:pt idx="15">
                  <c:v>mrt-96</c:v>
                </c:pt>
                <c:pt idx="16">
                  <c:v>apr-96</c:v>
                </c:pt>
                <c:pt idx="17">
                  <c:v>mei-96</c:v>
                </c:pt>
                <c:pt idx="18">
                  <c:v>jun-96</c:v>
                </c:pt>
                <c:pt idx="19">
                  <c:v>jul-96</c:v>
                </c:pt>
                <c:pt idx="20">
                  <c:v>aug-96</c:v>
                </c:pt>
                <c:pt idx="21">
                  <c:v>sep-96</c:v>
                </c:pt>
                <c:pt idx="22">
                  <c:v>okt-96</c:v>
                </c:pt>
                <c:pt idx="23">
                  <c:v>nov-96</c:v>
                </c:pt>
                <c:pt idx="24">
                  <c:v>dec-96</c:v>
                </c:pt>
                <c:pt idx="25">
                  <c:v>jan-97</c:v>
                </c:pt>
                <c:pt idx="26">
                  <c:v>feb-97</c:v>
                </c:pt>
                <c:pt idx="27">
                  <c:v>mrt-97</c:v>
                </c:pt>
                <c:pt idx="28">
                  <c:v>apr-97</c:v>
                </c:pt>
                <c:pt idx="29">
                  <c:v>winter 97</c:v>
                </c:pt>
                <c:pt idx="30">
                  <c:v>july 97</c:v>
                </c:pt>
                <c:pt idx="31">
                  <c:v>dec-97</c:v>
                </c:pt>
                <c:pt idx="32">
                  <c:v>feb-98</c:v>
                </c:pt>
                <c:pt idx="33">
                  <c:v>apr-98</c:v>
                </c:pt>
              </c:strCache>
            </c:strRef>
          </c:cat>
          <c:val>
            <c:numRef>
              <c:f>energiegebruik!$B$3:$B$37</c:f>
              <c:numCache>
                <c:ptCount val="35"/>
                <c:pt idx="0">
                  <c:v>34667</c:v>
                </c:pt>
                <c:pt idx="1">
                  <c:v>34703</c:v>
                </c:pt>
                <c:pt idx="2">
                  <c:v>34746</c:v>
                </c:pt>
                <c:pt idx="9">
                  <c:v>34935</c:v>
                </c:pt>
                <c:pt idx="10">
                  <c:v>35016</c:v>
                </c:pt>
                <c:pt idx="11">
                  <c:v>35052</c:v>
                </c:pt>
                <c:pt idx="12">
                  <c:v>35086</c:v>
                </c:pt>
                <c:pt idx="13">
                  <c:v>35115</c:v>
                </c:pt>
                <c:pt idx="23">
                  <c:v>35388</c:v>
                </c:pt>
                <c:pt idx="24">
                  <c:v>35430</c:v>
                </c:pt>
                <c:pt idx="26">
                  <c:v>35472</c:v>
                </c:pt>
                <c:pt idx="30">
                  <c:v>35612</c:v>
                </c:pt>
                <c:pt idx="31">
                  <c:v>35780</c:v>
                </c:pt>
                <c:pt idx="32">
                  <c:v>35837</c:v>
                </c:pt>
                <c:pt idx="33">
                  <c:v>35888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energiegebruik!$C$2</c:f>
              <c:strCache>
                <c:ptCount val="1"/>
                <c:pt idx="0">
                  <c:v>literprijs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energiegebruik!$A$3:$A$37</c:f>
              <c:strCache>
                <c:ptCount val="35"/>
                <c:pt idx="0">
                  <c:v>nov-94</c:v>
                </c:pt>
                <c:pt idx="1">
                  <c:v>jan-95</c:v>
                </c:pt>
                <c:pt idx="2">
                  <c:v>feb-95</c:v>
                </c:pt>
                <c:pt idx="3">
                  <c:v>winter 95</c:v>
                </c:pt>
                <c:pt idx="4">
                  <c:v>mrt-95</c:v>
                </c:pt>
                <c:pt idx="5">
                  <c:v>apr-95</c:v>
                </c:pt>
                <c:pt idx="6">
                  <c:v>mei-95</c:v>
                </c:pt>
                <c:pt idx="7">
                  <c:v>jun-95</c:v>
                </c:pt>
                <c:pt idx="8">
                  <c:v>jul-95</c:v>
                </c:pt>
                <c:pt idx="9">
                  <c:v>aug-95</c:v>
                </c:pt>
                <c:pt idx="10">
                  <c:v>nov-95</c:v>
                </c:pt>
                <c:pt idx="11">
                  <c:v>dec-95</c:v>
                </c:pt>
                <c:pt idx="12">
                  <c:v>jan-96</c:v>
                </c:pt>
                <c:pt idx="13">
                  <c:v>feb-96</c:v>
                </c:pt>
                <c:pt idx="14">
                  <c:v>winter 96</c:v>
                </c:pt>
                <c:pt idx="15">
                  <c:v>mrt-96</c:v>
                </c:pt>
                <c:pt idx="16">
                  <c:v>apr-96</c:v>
                </c:pt>
                <c:pt idx="17">
                  <c:v>mei-96</c:v>
                </c:pt>
                <c:pt idx="18">
                  <c:v>jun-96</c:v>
                </c:pt>
                <c:pt idx="19">
                  <c:v>jul-96</c:v>
                </c:pt>
                <c:pt idx="20">
                  <c:v>aug-96</c:v>
                </c:pt>
                <c:pt idx="21">
                  <c:v>sep-96</c:v>
                </c:pt>
                <c:pt idx="22">
                  <c:v>okt-96</c:v>
                </c:pt>
                <c:pt idx="23">
                  <c:v>nov-96</c:v>
                </c:pt>
                <c:pt idx="24">
                  <c:v>dec-96</c:v>
                </c:pt>
                <c:pt idx="25">
                  <c:v>jan-97</c:v>
                </c:pt>
                <c:pt idx="26">
                  <c:v>feb-97</c:v>
                </c:pt>
                <c:pt idx="27">
                  <c:v>mrt-97</c:v>
                </c:pt>
                <c:pt idx="28">
                  <c:v>apr-97</c:v>
                </c:pt>
                <c:pt idx="29">
                  <c:v>winter 97</c:v>
                </c:pt>
                <c:pt idx="30">
                  <c:v>july 97</c:v>
                </c:pt>
                <c:pt idx="31">
                  <c:v>dec-97</c:v>
                </c:pt>
                <c:pt idx="32">
                  <c:v>feb-98</c:v>
                </c:pt>
                <c:pt idx="33">
                  <c:v>apr-98</c:v>
                </c:pt>
              </c:strCache>
            </c:strRef>
          </c:cat>
          <c:val>
            <c:numRef>
              <c:f>energiegebruik!$C$3:$C$37</c:f>
              <c:numCache>
                <c:ptCount val="35"/>
                <c:pt idx="0">
                  <c:v>0.6258823529411764</c:v>
                </c:pt>
                <c:pt idx="1">
                  <c:v>0.6588888888888889</c:v>
                </c:pt>
                <c:pt idx="2">
                  <c:v>0.716842105263158</c:v>
                </c:pt>
                <c:pt idx="3">
                  <c:v>0.6688888888888889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0.623342175066313</c:v>
                </c:pt>
                <c:pt idx="10">
                  <c:v>0.6252631578947369</c:v>
                </c:pt>
                <c:pt idx="11">
                  <c:v>0.6535294117647059</c:v>
                </c:pt>
                <c:pt idx="12">
                  <c:v>0.7161904761904762</c:v>
                </c:pt>
                <c:pt idx="13">
                  <c:v>0.71687</c:v>
                </c:pt>
                <c:pt idx="14">
                  <c:v>0.6800961038961039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0.6893725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0.7687999999999999</c:v>
                </c:pt>
                <c:pt idx="24">
                  <c:v>0.8482380952380952</c:v>
                </c:pt>
                <c:pt idx="25">
                  <c:v>0</c:v>
                </c:pt>
                <c:pt idx="26">
                  <c:v>0.9765473684210526</c:v>
                </c:pt>
                <c:pt idx="27">
                  <c:v>0</c:v>
                </c:pt>
                <c:pt idx="28">
                  <c:v>0</c:v>
                </c:pt>
                <c:pt idx="30">
                  <c:v>0.7596375000000001</c:v>
                </c:pt>
                <c:pt idx="31">
                  <c:v>0.8114285714285714</c:v>
                </c:pt>
                <c:pt idx="32">
                  <c:v>0.7810526315789473</c:v>
                </c:pt>
                <c:pt idx="33">
                  <c:v>0.7541</c:v>
                </c:pt>
                <c:pt idx="34">
                  <c:v>1.0430625</c:v>
                </c:pt>
              </c:numCache>
            </c:numRef>
          </c:val>
          <c:smooth val="0"/>
        </c:ser>
        <c:marker val="1"/>
        <c:axId val="53795536"/>
        <c:axId val="14397777"/>
      </c:lineChart>
      <c:lineChart>
        <c:grouping val="standard"/>
        <c:varyColors val="0"/>
        <c:ser>
          <c:idx val="0"/>
          <c:order val="2"/>
          <c:tx>
            <c:strRef>
              <c:f>energiegebruik!$E$2</c:f>
              <c:strCache>
                <c:ptCount val="1"/>
                <c:pt idx="0">
                  <c:v>aantal liters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energiegebruik!$A$3:$A$37</c:f>
              <c:strCache>
                <c:ptCount val="35"/>
                <c:pt idx="0">
                  <c:v>nov-94</c:v>
                </c:pt>
                <c:pt idx="1">
                  <c:v>jan-95</c:v>
                </c:pt>
                <c:pt idx="2">
                  <c:v>feb-95</c:v>
                </c:pt>
                <c:pt idx="3">
                  <c:v>winter 95</c:v>
                </c:pt>
                <c:pt idx="4">
                  <c:v>mrt-95</c:v>
                </c:pt>
                <c:pt idx="5">
                  <c:v>apr-95</c:v>
                </c:pt>
                <c:pt idx="6">
                  <c:v>mei-95</c:v>
                </c:pt>
                <c:pt idx="7">
                  <c:v>jun-95</c:v>
                </c:pt>
                <c:pt idx="8">
                  <c:v>jul-95</c:v>
                </c:pt>
                <c:pt idx="9">
                  <c:v>aug-95</c:v>
                </c:pt>
                <c:pt idx="10">
                  <c:v>nov-95</c:v>
                </c:pt>
                <c:pt idx="11">
                  <c:v>dec-95</c:v>
                </c:pt>
                <c:pt idx="12">
                  <c:v>jan-96</c:v>
                </c:pt>
                <c:pt idx="13">
                  <c:v>feb-96</c:v>
                </c:pt>
                <c:pt idx="14">
                  <c:v>winter 96</c:v>
                </c:pt>
                <c:pt idx="15">
                  <c:v>mrt-96</c:v>
                </c:pt>
                <c:pt idx="16">
                  <c:v>apr-96</c:v>
                </c:pt>
                <c:pt idx="17">
                  <c:v>mei-96</c:v>
                </c:pt>
                <c:pt idx="18">
                  <c:v>jun-96</c:v>
                </c:pt>
                <c:pt idx="19">
                  <c:v>jul-96</c:v>
                </c:pt>
                <c:pt idx="20">
                  <c:v>aug-96</c:v>
                </c:pt>
                <c:pt idx="21">
                  <c:v>sep-96</c:v>
                </c:pt>
                <c:pt idx="22">
                  <c:v>okt-96</c:v>
                </c:pt>
                <c:pt idx="23">
                  <c:v>nov-96</c:v>
                </c:pt>
                <c:pt idx="24">
                  <c:v>dec-96</c:v>
                </c:pt>
                <c:pt idx="25">
                  <c:v>jan-97</c:v>
                </c:pt>
                <c:pt idx="26">
                  <c:v>feb-97</c:v>
                </c:pt>
                <c:pt idx="27">
                  <c:v>mrt-97</c:v>
                </c:pt>
                <c:pt idx="28">
                  <c:v>apr-97</c:v>
                </c:pt>
                <c:pt idx="29">
                  <c:v>winter 97</c:v>
                </c:pt>
                <c:pt idx="30">
                  <c:v>july 97</c:v>
                </c:pt>
                <c:pt idx="31">
                  <c:v>dec-97</c:v>
                </c:pt>
                <c:pt idx="32">
                  <c:v>feb-98</c:v>
                </c:pt>
                <c:pt idx="33">
                  <c:v>apr-98</c:v>
                </c:pt>
              </c:strCache>
            </c:strRef>
          </c:cat>
          <c:val>
            <c:numRef>
              <c:f>energiegebruik!$E$3:$E$37</c:f>
              <c:numCache>
                <c:ptCount val="35"/>
                <c:pt idx="0">
                  <c:v>850</c:v>
                </c:pt>
                <c:pt idx="1">
                  <c:v>900</c:v>
                </c:pt>
                <c:pt idx="2">
                  <c:v>950</c:v>
                </c:pt>
                <c:pt idx="3">
                  <c:v>2700</c:v>
                </c:pt>
                <c:pt idx="9">
                  <c:v>377</c:v>
                </c:pt>
                <c:pt idx="10">
                  <c:v>950</c:v>
                </c:pt>
                <c:pt idx="11">
                  <c:v>850</c:v>
                </c:pt>
                <c:pt idx="12">
                  <c:v>1050</c:v>
                </c:pt>
                <c:pt idx="13">
                  <c:v>1000</c:v>
                </c:pt>
                <c:pt idx="14">
                  <c:v>3850</c:v>
                </c:pt>
                <c:pt idx="15">
                  <c:v>3850</c:v>
                </c:pt>
                <c:pt idx="18">
                  <c:v>1250</c:v>
                </c:pt>
                <c:pt idx="23">
                  <c:v>1000</c:v>
                </c:pt>
                <c:pt idx="24">
                  <c:v>1050</c:v>
                </c:pt>
                <c:pt idx="26">
                  <c:v>950</c:v>
                </c:pt>
                <c:pt idx="29">
                  <c:v>3000</c:v>
                </c:pt>
                <c:pt idx="30">
                  <c:v>800</c:v>
                </c:pt>
                <c:pt idx="31">
                  <c:v>1050</c:v>
                </c:pt>
                <c:pt idx="32">
                  <c:v>950</c:v>
                </c:pt>
                <c:pt idx="33">
                  <c:v>400</c:v>
                </c:pt>
                <c:pt idx="34">
                  <c:v>2400</c:v>
                </c:pt>
              </c:numCache>
            </c:numRef>
          </c:val>
          <c:smooth val="0"/>
        </c:ser>
        <c:marker val="1"/>
        <c:axId val="62471130"/>
        <c:axId val="25369259"/>
      </c:lineChart>
      <c:catAx>
        <c:axId val="53795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7777"/>
        <c:crosses val="autoZero"/>
        <c:auto val="0"/>
        <c:lblOffset val="100"/>
        <c:tickLblSkip val="2"/>
        <c:noMultiLvlLbl val="0"/>
      </c:catAx>
      <c:valAx>
        <c:axId val="14397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literprijs</a:t>
                </a:r>
              </a:p>
            </c:rich>
          </c:tx>
          <c:layout>
            <c:manualLayout>
              <c:xMode val="factor"/>
              <c:yMode val="factor"/>
              <c:x val="-0.03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795536"/>
        <c:crossesAt val="1"/>
        <c:crossBetween val="between"/>
        <c:dispUnits/>
      </c:valAx>
      <c:catAx>
        <c:axId val="62471130"/>
        <c:scaling>
          <c:orientation val="minMax"/>
        </c:scaling>
        <c:axPos val="b"/>
        <c:delete val="1"/>
        <c:majorTickMark val="out"/>
        <c:minorTickMark val="none"/>
        <c:tickLblPos val="nextTo"/>
        <c:crossAx val="25369259"/>
        <c:crosses val="autoZero"/>
        <c:auto val="0"/>
        <c:lblOffset val="100"/>
        <c:tickLblSkip val="1"/>
        <c:noMultiLvlLbl val="0"/>
      </c:catAx>
      <c:valAx>
        <c:axId val="25369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aantal liters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711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36125"/>
          <c:w val="0.168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</xdr:row>
      <xdr:rowOff>114300</xdr:rowOff>
    </xdr:from>
    <xdr:to>
      <xdr:col>7</xdr:col>
      <xdr:colOff>419100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1057275" y="438150"/>
        <a:ext cx="36290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</xdr:row>
      <xdr:rowOff>85725</xdr:rowOff>
    </xdr:from>
    <xdr:to>
      <xdr:col>9</xdr:col>
      <xdr:colOff>47625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209675" y="247650"/>
        <a:ext cx="43243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142875</xdr:rowOff>
    </xdr:from>
    <xdr:to>
      <xdr:col>8</xdr:col>
      <xdr:colOff>571500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114300" y="628650"/>
        <a:ext cx="53340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PageLayoutView="0" workbookViewId="0" topLeftCell="A1">
      <pane xSplit="1" ySplit="3" topLeftCell="I8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03" sqref="M103"/>
    </sheetView>
  </sheetViews>
  <sheetFormatPr defaultColWidth="9.140625" defaultRowHeight="12.75"/>
  <cols>
    <col min="1" max="1" width="10.57421875" style="0" customWidth="1"/>
    <col min="2" max="2" width="12.140625" style="1" bestFit="1" customWidth="1"/>
    <col min="3" max="3" width="9.421875" style="5" customWidth="1"/>
    <col min="4" max="4" width="12.421875" style="15" bestFit="1" customWidth="1"/>
    <col min="5" max="5" width="10.57421875" style="0" customWidth="1"/>
    <col min="6" max="6" width="10.421875" style="13" bestFit="1" customWidth="1"/>
    <col min="7" max="7" width="12.421875" style="15" bestFit="1" customWidth="1"/>
    <col min="8" max="8" width="10.57421875" style="2" customWidth="1"/>
    <col min="9" max="9" width="14.57421875" style="18" bestFit="1" customWidth="1"/>
    <col min="10" max="10" width="9.421875" style="2" customWidth="1"/>
    <col min="11" max="11" width="9.421875" style="17" customWidth="1"/>
    <col min="12" max="13" width="9.57421875" style="0" bestFit="1" customWidth="1"/>
    <col min="14" max="14" width="10.57421875" style="0" customWidth="1"/>
    <col min="15" max="16" width="12.140625" style="0" customWidth="1"/>
    <col min="17" max="17" width="10.57421875" style="53" customWidth="1"/>
    <col min="18" max="18" width="11.140625" style="0" bestFit="1" customWidth="1"/>
    <col min="19" max="19" width="9.8515625" style="0" bestFit="1" customWidth="1"/>
    <col min="20" max="20" width="10.8515625" style="0" bestFit="1" customWidth="1"/>
  </cols>
  <sheetData>
    <row r="1" spans="2:11" ht="12.75">
      <c r="B1" s="1" t="s">
        <v>1</v>
      </c>
      <c r="C1" s="5" t="s">
        <v>18</v>
      </c>
      <c r="E1" t="s">
        <v>2</v>
      </c>
      <c r="F1" s="13" t="s">
        <v>19</v>
      </c>
      <c r="G1" s="13" t="s">
        <v>19</v>
      </c>
      <c r="H1" s="2" t="s">
        <v>4</v>
      </c>
      <c r="I1" s="2" t="s">
        <v>4</v>
      </c>
      <c r="J1"/>
      <c r="K1" s="1" t="s">
        <v>53</v>
      </c>
    </row>
    <row r="2" spans="1:17" ht="12.75">
      <c r="A2" s="4"/>
      <c r="B2"/>
      <c r="C2" s="5" t="s">
        <v>5</v>
      </c>
      <c r="D2" s="15" t="s">
        <v>7</v>
      </c>
      <c r="E2" t="s">
        <v>2</v>
      </c>
      <c r="F2" s="13" t="s">
        <v>3</v>
      </c>
      <c r="G2" s="13" t="s">
        <v>3</v>
      </c>
      <c r="H2"/>
      <c r="J2"/>
      <c r="K2" s="1" t="s">
        <v>54</v>
      </c>
      <c r="L2">
        <v>219</v>
      </c>
      <c r="Q2" s="53">
        <v>60</v>
      </c>
    </row>
    <row r="3" spans="1:18" ht="12.75">
      <c r="A3" s="4">
        <v>34639</v>
      </c>
      <c r="B3" s="1">
        <v>34667</v>
      </c>
      <c r="C3" s="5">
        <f>H3/E3</f>
        <v>0.6258823529411764</v>
      </c>
      <c r="D3" s="15">
        <f>C3/2.20371</f>
        <v>0.2840130293646516</v>
      </c>
      <c r="E3">
        <v>850</v>
      </c>
      <c r="F3" s="13">
        <f>53.1</f>
        <v>53.1</v>
      </c>
      <c r="G3" s="15">
        <f>F3/2.20371/100</f>
        <v>0.24095729474386374</v>
      </c>
      <c r="H3" s="2">
        <v>532</v>
      </c>
      <c r="I3" s="17">
        <f>H3/2.20371</f>
        <v>241.41107495995388</v>
      </c>
      <c r="R3" s="5"/>
    </row>
    <row r="4" spans="1:18" ht="12.75">
      <c r="A4" s="4">
        <v>34700</v>
      </c>
      <c r="B4" s="1">
        <v>34703</v>
      </c>
      <c r="C4" s="5">
        <f>H4/E4</f>
        <v>0.6588888888888889</v>
      </c>
      <c r="D4" s="15">
        <f aca="true" t="shared" si="0" ref="D4:D48">C4/2.20371</f>
        <v>0.2989907423793915</v>
      </c>
      <c r="E4">
        <v>900</v>
      </c>
      <c r="F4" s="13">
        <v>56.14</v>
      </c>
      <c r="G4" s="15">
        <f aca="true" t="shared" si="1" ref="G4:G26">F4/2.20371/100</f>
        <v>0.25475221331300396</v>
      </c>
      <c r="H4" s="2">
        <v>593</v>
      </c>
      <c r="I4" s="17">
        <f aca="true" t="shared" si="2" ref="I4:I48">H4/2.20371</f>
        <v>269.0916681414524</v>
      </c>
      <c r="R4" s="5"/>
    </row>
    <row r="5" spans="1:18" ht="12.75">
      <c r="A5" s="4">
        <v>34731</v>
      </c>
      <c r="B5" s="1">
        <v>34746</v>
      </c>
      <c r="C5" s="5">
        <f>H5/E5</f>
        <v>0.716842105263158</v>
      </c>
      <c r="D5" s="15">
        <f t="shared" si="0"/>
        <v>0.3252887654288259</v>
      </c>
      <c r="E5">
        <v>950</v>
      </c>
      <c r="F5" s="16">
        <v>61</v>
      </c>
      <c r="G5" s="15">
        <f t="shared" si="1"/>
        <v>0.27680593181498475</v>
      </c>
      <c r="H5" s="2">
        <v>681</v>
      </c>
      <c r="I5" s="17">
        <f t="shared" si="2"/>
        <v>309.02432715738456</v>
      </c>
      <c r="R5" s="5"/>
    </row>
    <row r="6" spans="1:18" ht="12.75">
      <c r="A6" s="6" t="s">
        <v>6</v>
      </c>
      <c r="C6" s="5">
        <f>H6/E6</f>
        <v>0.6688888888888889</v>
      </c>
      <c r="D6" s="15">
        <f t="shared" si="0"/>
        <v>0.3035285445402929</v>
      </c>
      <c r="E6">
        <f>SUM(E3:E5)</f>
        <v>2700</v>
      </c>
      <c r="F6" s="13">
        <f>AVERAGE(F3:F5)</f>
        <v>56.74666666666667</v>
      </c>
      <c r="G6" s="15">
        <f t="shared" si="1"/>
        <v>0.25750514662395085</v>
      </c>
      <c r="H6">
        <f>SUM(H3:H5)</f>
        <v>1806</v>
      </c>
      <c r="I6" s="17">
        <f t="shared" si="2"/>
        <v>819.5270702587908</v>
      </c>
      <c r="J6"/>
      <c r="R6" s="5"/>
    </row>
    <row r="7" spans="1:18" ht="12.75">
      <c r="A7" s="4">
        <v>34759</v>
      </c>
      <c r="B7"/>
      <c r="C7" s="5" t="s">
        <v>7</v>
      </c>
      <c r="D7" s="15" t="e">
        <f t="shared" si="0"/>
        <v>#VALUE!</v>
      </c>
      <c r="G7" s="15">
        <f t="shared" si="1"/>
        <v>0</v>
      </c>
      <c r="H7"/>
      <c r="I7" s="17">
        <f t="shared" si="2"/>
        <v>0</v>
      </c>
      <c r="J7"/>
      <c r="N7">
        <v>4012</v>
      </c>
      <c r="O7">
        <v>3716</v>
      </c>
      <c r="Q7" s="53">
        <v>119.17</v>
      </c>
      <c r="R7" s="5"/>
    </row>
    <row r="8" spans="1:18" ht="12.75">
      <c r="A8" s="4">
        <v>34790</v>
      </c>
      <c r="C8" s="5" t="s">
        <v>7</v>
      </c>
      <c r="D8" s="15" t="e">
        <f t="shared" si="0"/>
        <v>#VALUE!</v>
      </c>
      <c r="G8" s="15">
        <f t="shared" si="1"/>
        <v>0</v>
      </c>
      <c r="I8" s="17">
        <f t="shared" si="2"/>
        <v>0</v>
      </c>
      <c r="R8" s="5"/>
    </row>
    <row r="9" spans="1:18" ht="12.75">
      <c r="A9" s="4">
        <v>34820</v>
      </c>
      <c r="C9" s="5" t="s">
        <v>7</v>
      </c>
      <c r="D9" s="15" t="e">
        <f t="shared" si="0"/>
        <v>#VALUE!</v>
      </c>
      <c r="G9" s="15">
        <f t="shared" si="1"/>
        <v>0</v>
      </c>
      <c r="I9" s="17">
        <f t="shared" si="2"/>
        <v>0</v>
      </c>
      <c r="R9" s="5"/>
    </row>
    <row r="10" spans="1:18" ht="12.75">
      <c r="A10" s="4">
        <v>34851</v>
      </c>
      <c r="C10" s="5" t="s">
        <v>7</v>
      </c>
      <c r="D10" s="15" t="e">
        <f t="shared" si="0"/>
        <v>#VALUE!</v>
      </c>
      <c r="G10" s="15">
        <f t="shared" si="1"/>
        <v>0</v>
      </c>
      <c r="I10" s="17">
        <f t="shared" si="2"/>
        <v>0</v>
      </c>
      <c r="R10" s="5"/>
    </row>
    <row r="11" spans="1:18" ht="12.75">
      <c r="A11" s="4">
        <v>34881</v>
      </c>
      <c r="C11" s="5" t="s">
        <v>7</v>
      </c>
      <c r="D11" s="15" t="e">
        <f t="shared" si="0"/>
        <v>#VALUE!</v>
      </c>
      <c r="G11" s="15">
        <f t="shared" si="1"/>
        <v>0</v>
      </c>
      <c r="I11" s="17">
        <f t="shared" si="2"/>
        <v>0</v>
      </c>
      <c r="R11" s="5"/>
    </row>
    <row r="12" spans="1:18" ht="12.75">
      <c r="A12" s="4">
        <v>34912</v>
      </c>
      <c r="B12" s="1">
        <v>34935</v>
      </c>
      <c r="C12" s="5">
        <f aca="true" t="shared" si="3" ref="C12:C17">H12/E12</f>
        <v>0.623342175066313</v>
      </c>
      <c r="D12" s="15">
        <f t="shared" si="0"/>
        <v>0.2828603468996887</v>
      </c>
      <c r="E12">
        <v>377</v>
      </c>
      <c r="F12" s="13">
        <v>51</v>
      </c>
      <c r="G12" s="15">
        <f t="shared" si="1"/>
        <v>0.23142791020597084</v>
      </c>
      <c r="H12" s="2">
        <v>235</v>
      </c>
      <c r="I12" s="17">
        <f t="shared" si="2"/>
        <v>106.63835078118264</v>
      </c>
      <c r="R12" s="5"/>
    </row>
    <row r="13" spans="1:18" ht="12.75">
      <c r="A13" s="4">
        <v>35004</v>
      </c>
      <c r="B13" s="1">
        <v>35016</v>
      </c>
      <c r="C13" s="5">
        <f t="shared" si="3"/>
        <v>0.6252631578947369</v>
      </c>
      <c r="D13" s="15">
        <f t="shared" si="0"/>
        <v>0.28373205090267634</v>
      </c>
      <c r="E13">
        <v>950</v>
      </c>
      <c r="F13" s="13">
        <v>53.3</v>
      </c>
      <c r="G13" s="15">
        <f t="shared" si="1"/>
        <v>0.24186485517604403</v>
      </c>
      <c r="H13" s="2">
        <v>594</v>
      </c>
      <c r="I13" s="17">
        <f t="shared" si="2"/>
        <v>269.5454483575425</v>
      </c>
      <c r="R13" s="5"/>
    </row>
    <row r="14" spans="1:18" ht="12.75">
      <c r="A14" s="4">
        <v>35034</v>
      </c>
      <c r="B14" s="1">
        <v>35052</v>
      </c>
      <c r="C14" s="5">
        <f t="shared" si="3"/>
        <v>0.6535294117647059</v>
      </c>
      <c r="D14" s="15">
        <f t="shared" si="0"/>
        <v>0.2965587176918496</v>
      </c>
      <c r="E14">
        <v>850</v>
      </c>
      <c r="F14" s="13">
        <v>53</v>
      </c>
      <c r="G14" s="15">
        <f t="shared" si="1"/>
        <v>0.2405035145277736</v>
      </c>
      <c r="H14" s="2">
        <v>555.5</v>
      </c>
      <c r="I14" s="17">
        <f t="shared" si="2"/>
        <v>252.07491003807215</v>
      </c>
      <c r="R14" s="5"/>
    </row>
    <row r="15" spans="1:18" ht="12.75">
      <c r="A15" s="4">
        <v>35065</v>
      </c>
      <c r="B15" s="1">
        <v>35086</v>
      </c>
      <c r="C15" s="5">
        <f t="shared" si="3"/>
        <v>0.7161904761904762</v>
      </c>
      <c r="D15" s="15">
        <f t="shared" si="0"/>
        <v>0.32499306904741376</v>
      </c>
      <c r="E15">
        <v>1050</v>
      </c>
      <c r="F15" s="13">
        <v>61.1</v>
      </c>
      <c r="G15" s="15">
        <f t="shared" si="1"/>
        <v>0.27725971203107486</v>
      </c>
      <c r="H15" s="2">
        <v>752</v>
      </c>
      <c r="I15" s="17">
        <f t="shared" si="2"/>
        <v>341.24272249978446</v>
      </c>
      <c r="M15" s="37"/>
      <c r="R15" s="5"/>
    </row>
    <row r="16" spans="1:18" ht="12.75">
      <c r="A16" s="4">
        <v>35096</v>
      </c>
      <c r="B16" s="1">
        <v>35115</v>
      </c>
      <c r="C16" s="5">
        <f t="shared" si="3"/>
        <v>0.71687</v>
      </c>
      <c r="D16" s="15">
        <f t="shared" si="0"/>
        <v>0.32530142350853786</v>
      </c>
      <c r="E16">
        <v>1000</v>
      </c>
      <c r="F16" s="13">
        <v>61.01</v>
      </c>
      <c r="G16" s="15">
        <f t="shared" si="1"/>
        <v>0.27685130983659373</v>
      </c>
      <c r="H16" s="2">
        <v>716.87</v>
      </c>
      <c r="I16" s="17">
        <f t="shared" si="2"/>
        <v>325.3014235085379</v>
      </c>
      <c r="R16" s="5"/>
    </row>
    <row r="17" spans="1:19" ht="12.75">
      <c r="A17" s="6" t="s">
        <v>8</v>
      </c>
      <c r="C17" s="5">
        <f t="shared" si="3"/>
        <v>0.6800961038961039</v>
      </c>
      <c r="D17" s="15">
        <f t="shared" si="0"/>
        <v>0.30861415698803557</v>
      </c>
      <c r="E17">
        <f>SUM(E13:E16)</f>
        <v>3850</v>
      </c>
      <c r="F17" s="13">
        <f>AVERAGE(F14:F16)</f>
        <v>58.37</v>
      </c>
      <c r="G17" s="15">
        <f t="shared" si="1"/>
        <v>0.26487151213181404</v>
      </c>
      <c r="H17">
        <f>SUM(H13:H16)</f>
        <v>2618.37</v>
      </c>
      <c r="I17" s="17">
        <f t="shared" si="2"/>
        <v>1188.164504403937</v>
      </c>
      <c r="J17" s="2">
        <f>H16+H15+H14+H13+H12</f>
        <v>2853.37</v>
      </c>
      <c r="K17" s="17">
        <f>J17/2.20371</f>
        <v>1294.8028551851196</v>
      </c>
      <c r="N17">
        <v>3104</v>
      </c>
      <c r="O17">
        <v>3024</v>
      </c>
      <c r="Q17" s="53">
        <v>117.96</v>
      </c>
      <c r="R17" s="5">
        <f>(J17+Q18)/12+Q17</f>
        <v>355.74083333333334</v>
      </c>
      <c r="S17" s="20">
        <f>R17/2.20371</f>
        <v>161.42815222208608</v>
      </c>
    </row>
    <row r="18" spans="1:18" ht="12.75">
      <c r="A18" s="4">
        <v>35125</v>
      </c>
      <c r="C18" s="5" t="s">
        <v>7</v>
      </c>
      <c r="D18" s="15" t="e">
        <f t="shared" si="0"/>
        <v>#VALUE!</v>
      </c>
      <c r="E18">
        <f>SUM(E13:E16)</f>
        <v>3850</v>
      </c>
      <c r="G18" s="15">
        <f t="shared" si="1"/>
        <v>0</v>
      </c>
      <c r="I18" s="17">
        <f t="shared" si="2"/>
        <v>0</v>
      </c>
      <c r="R18" s="5"/>
    </row>
    <row r="19" spans="1:18" ht="12.75">
      <c r="A19" s="4">
        <v>35156</v>
      </c>
      <c r="C19" s="5" t="s">
        <v>7</v>
      </c>
      <c r="D19" s="15" t="e">
        <f t="shared" si="0"/>
        <v>#VALUE!</v>
      </c>
      <c r="G19" s="15">
        <f t="shared" si="1"/>
        <v>0</v>
      </c>
      <c r="I19" s="17">
        <f t="shared" si="2"/>
        <v>0</v>
      </c>
      <c r="N19">
        <v>3014</v>
      </c>
      <c r="O19">
        <v>2936</v>
      </c>
      <c r="Q19" s="53">
        <v>117</v>
      </c>
      <c r="R19" s="5"/>
    </row>
    <row r="20" spans="1:18" ht="12.75">
      <c r="A20" s="4">
        <v>35186</v>
      </c>
      <c r="C20" s="5" t="s">
        <v>7</v>
      </c>
      <c r="D20" s="15" t="e">
        <f t="shared" si="0"/>
        <v>#VALUE!</v>
      </c>
      <c r="G20" s="15">
        <f t="shared" si="1"/>
        <v>0</v>
      </c>
      <c r="I20" s="17">
        <f t="shared" si="2"/>
        <v>0</v>
      </c>
      <c r="R20" s="5"/>
    </row>
    <row r="21" spans="1:18" ht="12.75">
      <c r="A21" s="4">
        <v>35217</v>
      </c>
      <c r="C21" s="5">
        <f>H21/E21</f>
        <v>0.6893725</v>
      </c>
      <c r="D21" s="15">
        <f t="shared" si="0"/>
        <v>0.3128236020165993</v>
      </c>
      <c r="E21">
        <v>1250</v>
      </c>
      <c r="F21" s="13">
        <v>58.67</v>
      </c>
      <c r="G21" s="15">
        <f t="shared" si="1"/>
        <v>0.2662328527800845</v>
      </c>
      <c r="H21" s="2">
        <f>E21*F21/100*1.175</f>
        <v>861.715625</v>
      </c>
      <c r="I21" s="17">
        <f t="shared" si="2"/>
        <v>391.02950252074913</v>
      </c>
      <c r="L21">
        <v>199</v>
      </c>
      <c r="Q21" s="53">
        <f>205/4</f>
        <v>51.25</v>
      </c>
      <c r="R21" s="5"/>
    </row>
    <row r="22" spans="1:18" ht="12.75">
      <c r="A22" s="4">
        <v>35247</v>
      </c>
      <c r="C22" s="5" t="s">
        <v>7</v>
      </c>
      <c r="D22" s="15" t="e">
        <f t="shared" si="0"/>
        <v>#VALUE!</v>
      </c>
      <c r="G22" s="15">
        <f t="shared" si="1"/>
        <v>0</v>
      </c>
      <c r="I22" s="17">
        <f t="shared" si="2"/>
        <v>0</v>
      </c>
      <c r="R22" s="5"/>
    </row>
    <row r="23" spans="1:18" ht="12.75">
      <c r="A23" s="4">
        <v>35278</v>
      </c>
      <c r="C23" s="5" t="s">
        <v>7</v>
      </c>
      <c r="D23" s="15" t="e">
        <f t="shared" si="0"/>
        <v>#VALUE!</v>
      </c>
      <c r="G23" s="15">
        <f t="shared" si="1"/>
        <v>0</v>
      </c>
      <c r="I23" s="17">
        <f t="shared" si="2"/>
        <v>0</v>
      </c>
      <c r="R23" s="5"/>
    </row>
    <row r="24" spans="1:18" ht="12.75">
      <c r="A24" s="4">
        <v>35309</v>
      </c>
      <c r="C24" s="5" t="s">
        <v>7</v>
      </c>
      <c r="D24" s="15" t="e">
        <f t="shared" si="0"/>
        <v>#VALUE!</v>
      </c>
      <c r="G24" s="15">
        <f t="shared" si="1"/>
        <v>0</v>
      </c>
      <c r="I24" s="17">
        <f t="shared" si="2"/>
        <v>0</v>
      </c>
      <c r="R24" s="5"/>
    </row>
    <row r="25" spans="1:18" ht="12.75">
      <c r="A25" s="4">
        <v>35339</v>
      </c>
      <c r="C25" s="5" t="s">
        <v>7</v>
      </c>
      <c r="D25" s="15" t="e">
        <f t="shared" si="0"/>
        <v>#VALUE!</v>
      </c>
      <c r="G25" s="15">
        <f t="shared" si="1"/>
        <v>0</v>
      </c>
      <c r="I25" s="17">
        <f t="shared" si="2"/>
        <v>0</v>
      </c>
      <c r="R25" s="5"/>
    </row>
    <row r="26" spans="1:18" ht="12.75">
      <c r="A26" s="4">
        <v>35370</v>
      </c>
      <c r="B26" s="1">
        <v>35388</v>
      </c>
      <c r="C26" s="5">
        <f>H26/E26</f>
        <v>0.7687999999999999</v>
      </c>
      <c r="D26" s="15">
        <f t="shared" si="0"/>
        <v>0.34886623013009876</v>
      </c>
      <c r="E26">
        <v>1000</v>
      </c>
      <c r="F26" s="13">
        <v>65.43</v>
      </c>
      <c r="G26" s="15">
        <f t="shared" si="1"/>
        <v>0.2969083953877779</v>
      </c>
      <c r="H26" s="2">
        <v>768.8</v>
      </c>
      <c r="I26" s="17">
        <f t="shared" si="2"/>
        <v>348.86623013009876</v>
      </c>
      <c r="R26" s="5"/>
    </row>
    <row r="27" spans="1:18" ht="12.75">
      <c r="A27" s="4">
        <v>35400</v>
      </c>
      <c r="B27" s="1">
        <v>35430</v>
      </c>
      <c r="C27" s="5">
        <f>H27/E27</f>
        <v>0.8482380952380952</v>
      </c>
      <c r="D27" s="15">
        <f t="shared" si="0"/>
        <v>0.3849136661530307</v>
      </c>
      <c r="E27">
        <v>1050</v>
      </c>
      <c r="F27" s="13">
        <f>H27/E27</f>
        <v>0.8482380952380952</v>
      </c>
      <c r="G27" s="15">
        <f aca="true" t="shared" si="4" ref="G27:G47">F27/2.20371</f>
        <v>0.3849136661530307</v>
      </c>
      <c r="H27" s="2">
        <v>890.65</v>
      </c>
      <c r="I27" s="17">
        <f t="shared" si="2"/>
        <v>404.15934946068217</v>
      </c>
      <c r="R27" s="5"/>
    </row>
    <row r="28" spans="1:18" ht="12.75">
      <c r="A28" s="4">
        <v>35431</v>
      </c>
      <c r="C28" s="5" t="s">
        <v>7</v>
      </c>
      <c r="D28" s="15" t="e">
        <f t="shared" si="0"/>
        <v>#VALUE!</v>
      </c>
      <c r="F28" s="13" t="e">
        <f>H28/E28</f>
        <v>#DIV/0!</v>
      </c>
      <c r="G28" s="15" t="e">
        <f t="shared" si="4"/>
        <v>#DIV/0!</v>
      </c>
      <c r="I28" s="17">
        <f t="shared" si="2"/>
        <v>0</v>
      </c>
      <c r="R28" s="5"/>
    </row>
    <row r="29" spans="1:18" ht="12.75">
      <c r="A29" s="4">
        <v>35462</v>
      </c>
      <c r="B29" s="1">
        <v>35472</v>
      </c>
      <c r="C29" s="5">
        <f>H29/E29</f>
        <v>0.9765473684210526</v>
      </c>
      <c r="D29" s="15">
        <f t="shared" si="0"/>
        <v>0.4431378758643617</v>
      </c>
      <c r="E29">
        <v>950</v>
      </c>
      <c r="F29" s="13">
        <f>H29/E29</f>
        <v>0.9765473684210526</v>
      </c>
      <c r="G29" s="15">
        <f t="shared" si="4"/>
        <v>0.4431378758643617</v>
      </c>
      <c r="H29" s="2">
        <v>927.72</v>
      </c>
      <c r="I29" s="17">
        <f t="shared" si="2"/>
        <v>420.98098207114367</v>
      </c>
      <c r="R29" s="5"/>
    </row>
    <row r="30" spans="1:18" ht="12.75">
      <c r="A30" s="4">
        <v>35490</v>
      </c>
      <c r="C30" s="5" t="s">
        <v>7</v>
      </c>
      <c r="D30" s="15" t="e">
        <f t="shared" si="0"/>
        <v>#VALUE!</v>
      </c>
      <c r="G30" s="15">
        <f t="shared" si="4"/>
        <v>0</v>
      </c>
      <c r="I30" s="17">
        <f t="shared" si="2"/>
        <v>0</v>
      </c>
      <c r="R30" s="5"/>
    </row>
    <row r="31" spans="1:18" ht="12.75">
      <c r="A31" s="4">
        <v>35521</v>
      </c>
      <c r="C31" s="5" t="s">
        <v>7</v>
      </c>
      <c r="D31" s="15" t="e">
        <f t="shared" si="0"/>
        <v>#VALUE!</v>
      </c>
      <c r="G31" s="15">
        <f t="shared" si="4"/>
        <v>0</v>
      </c>
      <c r="I31" s="17">
        <f t="shared" si="2"/>
        <v>0</v>
      </c>
      <c r="R31" s="5"/>
    </row>
    <row r="32" spans="1:19" ht="12.75">
      <c r="A32" s="6" t="s">
        <v>9</v>
      </c>
      <c r="D32" s="15">
        <f t="shared" si="0"/>
        <v>0</v>
      </c>
      <c r="E32">
        <f>SUM(E26:E29)</f>
        <v>3000</v>
      </c>
      <c r="F32" s="13">
        <f>AVERAGE(F29:F31)</f>
        <v>0.9765473684210526</v>
      </c>
      <c r="G32" s="15">
        <f t="shared" si="4"/>
        <v>0.4431378758643617</v>
      </c>
      <c r="H32">
        <f>SUM(H26:H29)</f>
        <v>2587.17</v>
      </c>
      <c r="I32" s="17">
        <f t="shared" si="2"/>
        <v>1174.0065616619247</v>
      </c>
      <c r="J32" s="2">
        <f>H29+H27+H26+H21</f>
        <v>3448.885625</v>
      </c>
      <c r="K32" s="17">
        <f>J32/2.20371</f>
        <v>1565.0360641826737</v>
      </c>
      <c r="N32">
        <v>3127</v>
      </c>
      <c r="O32">
        <v>3402</v>
      </c>
      <c r="P32">
        <f>N32+O32</f>
        <v>6529</v>
      </c>
      <c r="Q32" s="53">
        <v>121.25</v>
      </c>
      <c r="R32" s="5">
        <f>(J32+Q33)/12+Q32</f>
        <v>413.0738020833333</v>
      </c>
      <c r="S32" s="20">
        <f>R32/2.20371</f>
        <v>187.44471917055026</v>
      </c>
    </row>
    <row r="33" spans="1:18" ht="12.75">
      <c r="A33" s="1" t="s">
        <v>10</v>
      </c>
      <c r="B33" s="1">
        <v>35612</v>
      </c>
      <c r="C33" s="5">
        <f aca="true" t="shared" si="5" ref="C33:C40">H33/E33</f>
        <v>0.7596375000000001</v>
      </c>
      <c r="D33" s="15">
        <f t="shared" si="0"/>
        <v>0.3447084689001729</v>
      </c>
      <c r="E33">
        <v>800</v>
      </c>
      <c r="F33" s="13">
        <f>H33/E33</f>
        <v>0.7596375000000001</v>
      </c>
      <c r="G33" s="15">
        <f t="shared" si="4"/>
        <v>0.3447084689001729</v>
      </c>
      <c r="H33" s="2">
        <v>607.71</v>
      </c>
      <c r="I33" s="17">
        <f t="shared" si="2"/>
        <v>275.76677512013833</v>
      </c>
      <c r="L33">
        <v>206</v>
      </c>
      <c r="P33" t="s">
        <v>7</v>
      </c>
      <c r="Q33" s="53">
        <v>53</v>
      </c>
      <c r="R33" s="5"/>
    </row>
    <row r="34" spans="1:18" ht="12.75">
      <c r="A34" s="4">
        <v>35765</v>
      </c>
      <c r="B34" s="1">
        <v>35780</v>
      </c>
      <c r="C34" s="5">
        <f t="shared" si="5"/>
        <v>0.8114285714285714</v>
      </c>
      <c r="D34" s="15">
        <f t="shared" si="0"/>
        <v>0.3682102324845698</v>
      </c>
      <c r="E34">
        <v>1050</v>
      </c>
      <c r="F34" s="13">
        <f>H34/E34</f>
        <v>0.8114285714285714</v>
      </c>
      <c r="G34" s="15">
        <f t="shared" si="4"/>
        <v>0.3682102324845698</v>
      </c>
      <c r="H34" s="2">
        <v>852</v>
      </c>
      <c r="I34" s="17">
        <f t="shared" si="2"/>
        <v>386.62074410879836</v>
      </c>
      <c r="P34" t="s">
        <v>7</v>
      </c>
      <c r="R34" s="5"/>
    </row>
    <row r="35" spans="1:18" ht="12.75">
      <c r="A35" s="4">
        <v>35827</v>
      </c>
      <c r="B35" s="1">
        <v>35837</v>
      </c>
      <c r="C35" s="5">
        <f t="shared" si="5"/>
        <v>0.7810526315789473</v>
      </c>
      <c r="D35" s="15">
        <f t="shared" si="0"/>
        <v>0.35442623193566636</v>
      </c>
      <c r="E35">
        <v>950</v>
      </c>
      <c r="F35" s="13">
        <f>H35/E35</f>
        <v>0.7810526315789473</v>
      </c>
      <c r="G35" s="15">
        <f t="shared" si="4"/>
        <v>0.35442623193566636</v>
      </c>
      <c r="H35" s="2">
        <v>742</v>
      </c>
      <c r="I35" s="17">
        <f t="shared" si="2"/>
        <v>336.7049203388831</v>
      </c>
      <c r="P35" t="s">
        <v>7</v>
      </c>
      <c r="R35" s="5"/>
    </row>
    <row r="36" spans="1:18" ht="12.75">
      <c r="A36" s="4">
        <v>35888</v>
      </c>
      <c r="B36" s="1">
        <v>35888</v>
      </c>
      <c r="C36" s="5">
        <f t="shared" si="5"/>
        <v>0.7541</v>
      </c>
      <c r="D36" s="15">
        <f t="shared" si="0"/>
        <v>0.34219566095357373</v>
      </c>
      <c r="E36">
        <v>400</v>
      </c>
      <c r="F36" s="13">
        <f>H36/E36</f>
        <v>0.7541</v>
      </c>
      <c r="G36" s="15">
        <f t="shared" si="4"/>
        <v>0.34219566095357373</v>
      </c>
      <c r="H36" s="2">
        <v>301.64</v>
      </c>
      <c r="I36" s="17">
        <f t="shared" si="2"/>
        <v>136.8782643814295</v>
      </c>
      <c r="N36">
        <v>2317</v>
      </c>
      <c r="O36">
        <v>3693</v>
      </c>
      <c r="P36">
        <f>N36+O36</f>
        <v>6010</v>
      </c>
      <c r="R36" s="5"/>
    </row>
    <row r="37" spans="3:19" ht="12.75">
      <c r="C37" s="5">
        <f t="shared" si="5"/>
        <v>1.0430625</v>
      </c>
      <c r="D37" s="15">
        <f t="shared" si="0"/>
        <v>0.4733211266455205</v>
      </c>
      <c r="E37">
        <f>E34+E35+E36</f>
        <v>2400</v>
      </c>
      <c r="F37" s="13">
        <f>AVERAGE(F34:F36)</f>
        <v>0.7821937343358396</v>
      </c>
      <c r="G37" s="15">
        <f t="shared" si="4"/>
        <v>0.35494404179127</v>
      </c>
      <c r="H37" s="2">
        <f>SUM(H33:H36)</f>
        <v>2503.35</v>
      </c>
      <c r="I37" s="17">
        <f t="shared" si="2"/>
        <v>1135.9707039492491</v>
      </c>
      <c r="J37" s="2">
        <v>2503</v>
      </c>
      <c r="K37" s="17">
        <f>J37/2.20371</f>
        <v>1135.8118808736176</v>
      </c>
      <c r="L37">
        <v>164</v>
      </c>
      <c r="P37" t="s">
        <v>7</v>
      </c>
      <c r="Q37" s="53">
        <v>113.86</v>
      </c>
      <c r="R37" s="5">
        <f>(J37+Q38)/12+Q37</f>
        <v>326.02666666666664</v>
      </c>
      <c r="S37" s="20">
        <f>R37/2.20371</f>
        <v>147.94445125114768</v>
      </c>
    </row>
    <row r="38" spans="1:18" ht="12.75">
      <c r="A38" s="1">
        <v>36111</v>
      </c>
      <c r="B38" s="1">
        <v>36111</v>
      </c>
      <c r="C38" s="5">
        <f t="shared" si="5"/>
        <v>0.8025</v>
      </c>
      <c r="D38" s="15">
        <f t="shared" si="0"/>
        <v>0.36415862341233646</v>
      </c>
      <c r="E38">
        <v>800</v>
      </c>
      <c r="F38" s="13">
        <f>H38/E38</f>
        <v>0.8025</v>
      </c>
      <c r="G38" s="15">
        <f t="shared" si="4"/>
        <v>0.36415862341233646</v>
      </c>
      <c r="H38" s="2">
        <v>642</v>
      </c>
      <c r="I38" s="17">
        <f t="shared" si="2"/>
        <v>291.3268987298692</v>
      </c>
      <c r="P38" t="s">
        <v>7</v>
      </c>
      <c r="Q38" s="53">
        <v>43</v>
      </c>
      <c r="R38" s="5"/>
    </row>
    <row r="39" spans="1:18" ht="12.75">
      <c r="A39" s="1">
        <v>36172</v>
      </c>
      <c r="B39" s="1">
        <v>36172</v>
      </c>
      <c r="C39" s="5">
        <f t="shared" si="5"/>
        <v>0.8237837837837838</v>
      </c>
      <c r="D39" s="15">
        <f t="shared" si="0"/>
        <v>0.3738167834169577</v>
      </c>
      <c r="E39">
        <v>925</v>
      </c>
      <c r="F39" s="13">
        <f>H39/E39</f>
        <v>0.8237837837837838</v>
      </c>
      <c r="G39" s="15">
        <f t="shared" si="4"/>
        <v>0.3738167834169577</v>
      </c>
      <c r="H39" s="2">
        <v>762</v>
      </c>
      <c r="I39" s="17">
        <f t="shared" si="2"/>
        <v>345.78052466068584</v>
      </c>
      <c r="P39" t="s">
        <v>7</v>
      </c>
      <c r="R39" s="5"/>
    </row>
    <row r="40" spans="1:18" ht="12.75">
      <c r="A40" s="8">
        <v>36237</v>
      </c>
      <c r="B40" s="1">
        <v>36237</v>
      </c>
      <c r="C40" s="5">
        <f t="shared" si="5"/>
        <v>0.7933548387096775</v>
      </c>
      <c r="D40" s="15">
        <f t="shared" si="0"/>
        <v>0.36000873014583473</v>
      </c>
      <c r="E40">
        <v>775</v>
      </c>
      <c r="F40" s="13">
        <f>H40/E40</f>
        <v>0.7933548387096775</v>
      </c>
      <c r="G40" s="15">
        <f t="shared" si="4"/>
        <v>0.36000873014583473</v>
      </c>
      <c r="H40" s="2">
        <v>614.85</v>
      </c>
      <c r="I40" s="17">
        <f t="shared" si="2"/>
        <v>279.0067658630219</v>
      </c>
      <c r="P40" t="s">
        <v>7</v>
      </c>
      <c r="R40" s="5"/>
    </row>
    <row r="41" spans="2:19" s="9" customFormat="1" ht="12.75">
      <c r="B41" s="10"/>
      <c r="C41" s="11"/>
      <c r="D41" s="15" t="s">
        <v>7</v>
      </c>
      <c r="E41" s="9">
        <f>SUM(E38:E40)</f>
        <v>2500</v>
      </c>
      <c r="F41" s="14">
        <f>AVERAGE(F38:F40)</f>
        <v>0.8065462074978204</v>
      </c>
      <c r="G41" s="15">
        <f t="shared" si="4"/>
        <v>0.36599471232504294</v>
      </c>
      <c r="H41" s="12">
        <f>SUM(H38:H40)</f>
        <v>2018.85</v>
      </c>
      <c r="I41" s="17">
        <f t="shared" si="2"/>
        <v>916.1141892535769</v>
      </c>
      <c r="J41" s="12">
        <f>H41</f>
        <v>2018.85</v>
      </c>
      <c r="K41" s="17">
        <f>J41/2.20371</f>
        <v>916.1141892535769</v>
      </c>
      <c r="L41" s="9">
        <v>137</v>
      </c>
      <c r="N41" s="9">
        <f>1666+618</f>
        <v>2284</v>
      </c>
      <c r="O41" s="9">
        <f>2441+905</f>
        <v>3346</v>
      </c>
      <c r="P41">
        <f>N41+O41</f>
        <v>5630</v>
      </c>
      <c r="Q41" s="54">
        <v>125.23</v>
      </c>
      <c r="R41" s="5">
        <f>(J41+Q42)/12+Q41</f>
        <v>299.2008333333333</v>
      </c>
      <c r="S41" s="20">
        <f>R41/2.20371</f>
        <v>135.77141880434962</v>
      </c>
    </row>
    <row r="42" spans="1:18" ht="12.75">
      <c r="A42" s="4">
        <v>36495</v>
      </c>
      <c r="B42" s="1" t="s">
        <v>17</v>
      </c>
      <c r="C42" s="5">
        <v>0.82</v>
      </c>
      <c r="D42" s="15">
        <f t="shared" si="0"/>
        <v>0.37209977719391385</v>
      </c>
      <c r="E42">
        <v>1100</v>
      </c>
      <c r="F42" s="13">
        <f>H42/E42</f>
        <v>0.9636363636363636</v>
      </c>
      <c r="G42" s="15">
        <f t="shared" si="4"/>
        <v>0.4372791173232247</v>
      </c>
      <c r="H42" s="2">
        <v>1060</v>
      </c>
      <c r="I42" s="17">
        <f t="shared" si="2"/>
        <v>481.0070290555472</v>
      </c>
      <c r="P42" t="s">
        <v>7</v>
      </c>
      <c r="Q42" s="53">
        <v>68.8</v>
      </c>
      <c r="R42" s="5"/>
    </row>
    <row r="43" spans="1:18" ht="12.75">
      <c r="A43" s="8">
        <v>36579</v>
      </c>
      <c r="B43" s="1">
        <v>36579</v>
      </c>
      <c r="C43" s="5">
        <v>91.4</v>
      </c>
      <c r="D43" s="15">
        <v>0.41</v>
      </c>
      <c r="E43">
        <v>1000</v>
      </c>
      <c r="F43" s="13">
        <f>H43/E43</f>
        <v>1.07395</v>
      </c>
      <c r="G43" s="15">
        <f t="shared" si="4"/>
        <v>0.48733726307000463</v>
      </c>
      <c r="H43" s="2">
        <v>1073.95</v>
      </c>
      <c r="I43" s="17">
        <f t="shared" si="2"/>
        <v>487.33726307000467</v>
      </c>
      <c r="P43" t="s">
        <v>7</v>
      </c>
      <c r="R43" s="5"/>
    </row>
    <row r="44" spans="1:19" ht="12.75">
      <c r="A44" t="s">
        <v>20</v>
      </c>
      <c r="D44" s="15">
        <f t="shared" si="0"/>
        <v>0</v>
      </c>
      <c r="E44">
        <f>SUM(E42:E43)</f>
        <v>2100</v>
      </c>
      <c r="F44" s="14">
        <f>AVERAGE(F41:F43)</f>
        <v>0.9480441903780613</v>
      </c>
      <c r="G44" s="15">
        <f t="shared" si="4"/>
        <v>0.43020369757275745</v>
      </c>
      <c r="H44">
        <f>SUM(H42:H43)</f>
        <v>2133.95</v>
      </c>
      <c r="I44" s="17">
        <f t="shared" si="2"/>
        <v>968.3442921255518</v>
      </c>
      <c r="J44">
        <f>H44</f>
        <v>2133.95</v>
      </c>
      <c r="K44" s="17">
        <f>J44/2.20371</f>
        <v>968.3442921255518</v>
      </c>
      <c r="L44">
        <v>120</v>
      </c>
      <c r="N44">
        <v>1792</v>
      </c>
      <c r="O44">
        <v>2575</v>
      </c>
      <c r="P44">
        <f>N44+O44</f>
        <v>4367</v>
      </c>
      <c r="Q44" s="53">
        <v>104</v>
      </c>
      <c r="R44" s="5">
        <f>J44/12+Q44</f>
        <v>281.82916666666665</v>
      </c>
      <c r="S44" s="20">
        <f>R44/2.20371</f>
        <v>127.88850015050376</v>
      </c>
    </row>
    <row r="45" spans="2:18" ht="12.75">
      <c r="B45" s="1">
        <v>36874</v>
      </c>
      <c r="C45" s="5">
        <v>1.0466</v>
      </c>
      <c r="D45" s="15">
        <f t="shared" si="0"/>
        <v>0.4749263741599393</v>
      </c>
      <c r="E45">
        <v>751</v>
      </c>
      <c r="F45" s="13">
        <f>H45/E45</f>
        <v>1.2297603195739013</v>
      </c>
      <c r="G45" s="15">
        <f t="shared" si="4"/>
        <v>0.5580409035553232</v>
      </c>
      <c r="H45" s="2">
        <v>923.55</v>
      </c>
      <c r="I45" s="17">
        <f t="shared" si="2"/>
        <v>419.0887185700478</v>
      </c>
      <c r="Q45" s="53">
        <v>-211</v>
      </c>
      <c r="R45" s="5"/>
    </row>
    <row r="46" spans="2:18" ht="12.75">
      <c r="B46" s="1">
        <v>36959</v>
      </c>
      <c r="C46" s="5">
        <v>1.03</v>
      </c>
      <c r="D46" s="15">
        <f t="shared" si="0"/>
        <v>0.46739362257284306</v>
      </c>
      <c r="E46">
        <v>1025</v>
      </c>
      <c r="F46" s="13">
        <f>H46/E46</f>
        <v>1.2270146341463415</v>
      </c>
      <c r="G46" s="15">
        <f t="shared" si="4"/>
        <v>0.5567949658286896</v>
      </c>
      <c r="H46" s="2">
        <v>1257.69</v>
      </c>
      <c r="I46" s="17">
        <f t="shared" si="2"/>
        <v>570.7148399744068</v>
      </c>
      <c r="R46" s="5"/>
    </row>
    <row r="47" spans="1:19" ht="12.75">
      <c r="A47" t="s">
        <v>21</v>
      </c>
      <c r="D47" s="15">
        <f t="shared" si="0"/>
        <v>0</v>
      </c>
      <c r="E47">
        <f>SUM(E45:E46)</f>
        <v>1776</v>
      </c>
      <c r="F47" s="14">
        <f>AVERAGE(F45:F46)</f>
        <v>1.2283874768601213</v>
      </c>
      <c r="G47" s="15">
        <f t="shared" si="4"/>
        <v>0.5574179346920063</v>
      </c>
      <c r="H47" s="2">
        <f>SUM(H45:H46)</f>
        <v>2181.24</v>
      </c>
      <c r="I47" s="17">
        <f t="shared" si="2"/>
        <v>989.8035585444544</v>
      </c>
      <c r="J47" s="2">
        <f>H45+H46</f>
        <v>2181.24</v>
      </c>
      <c r="K47" s="17">
        <f>J47/2.20371</f>
        <v>989.8035585444544</v>
      </c>
      <c r="N47">
        <f>1218+312</f>
        <v>1530</v>
      </c>
      <c r="O47">
        <f>1982+508</f>
        <v>2490</v>
      </c>
      <c r="P47">
        <f>N47+O47</f>
        <v>4020</v>
      </c>
      <c r="Q47" s="53">
        <v>108</v>
      </c>
      <c r="R47" s="5">
        <f>(J47+Q48)/12+Q47</f>
        <v>300.4808333333333</v>
      </c>
      <c r="S47" s="20">
        <f>R47/2.20371</f>
        <v>136.35225748094498</v>
      </c>
    </row>
    <row r="48" spans="1:18" ht="12.75">
      <c r="A48" t="s">
        <v>7</v>
      </c>
      <c r="B48" s="1">
        <v>37224</v>
      </c>
      <c r="C48" s="5">
        <v>0.9521</v>
      </c>
      <c r="D48" s="15">
        <f t="shared" si="0"/>
        <v>0.43204414373942124</v>
      </c>
      <c r="E48">
        <v>700</v>
      </c>
      <c r="F48" s="13">
        <f>H48/E48</f>
        <v>1.1199142857142859</v>
      </c>
      <c r="G48" s="15">
        <f>F48/2.20371</f>
        <v>0.5081949465738622</v>
      </c>
      <c r="H48" s="2">
        <v>783.94</v>
      </c>
      <c r="I48" s="17">
        <f t="shared" si="2"/>
        <v>355.7364626017035</v>
      </c>
      <c r="Q48" s="53">
        <v>128.53</v>
      </c>
      <c r="R48" s="5"/>
    </row>
    <row r="49" spans="2:18" ht="12.75">
      <c r="B49" s="1">
        <v>37314</v>
      </c>
      <c r="D49" s="15">
        <f>45.75/100</f>
        <v>0.4575</v>
      </c>
      <c r="E49">
        <v>1050</v>
      </c>
      <c r="G49" s="15">
        <f>I49/E49</f>
        <v>0.5384761904761904</v>
      </c>
      <c r="H49" s="2">
        <f>I49*2.20371</f>
        <v>1245.977634</v>
      </c>
      <c r="I49" s="18">
        <v>565.4</v>
      </c>
      <c r="J49" s="2" t="s">
        <v>7</v>
      </c>
      <c r="N49">
        <v>1906</v>
      </c>
      <c r="O49">
        <v>2904</v>
      </c>
      <c r="P49">
        <f>N49+O49</f>
        <v>4810</v>
      </c>
      <c r="Q49" s="53">
        <f>64.21*2.20371</f>
        <v>141.50021909999998</v>
      </c>
      <c r="R49" s="5" t="s">
        <v>7</v>
      </c>
    </row>
    <row r="50" spans="1:20" s="9" customFormat="1" ht="12.75">
      <c r="A50" s="9" t="s">
        <v>22</v>
      </c>
      <c r="B50" s="10"/>
      <c r="C50" s="11"/>
      <c r="D50" s="23"/>
      <c r="E50" s="9">
        <f>SUM(E48:E49)</f>
        <v>1750</v>
      </c>
      <c r="F50" s="14"/>
      <c r="G50" s="23">
        <f>I50/E50</f>
        <v>0</v>
      </c>
      <c r="H50" s="12"/>
      <c r="I50" s="24"/>
      <c r="J50" s="12">
        <f>H48+H49</f>
        <v>2029.9176340000001</v>
      </c>
      <c r="K50" s="25">
        <f>I48+I49</f>
        <v>921.1364626017034</v>
      </c>
      <c r="L50" s="9">
        <v>158</v>
      </c>
      <c r="Q50" s="54">
        <f>176.11*2.20371</f>
        <v>388.09536810000003</v>
      </c>
      <c r="R50" s="11">
        <f>(J50+Q50)/12+Q49</f>
        <v>343.0013026083333</v>
      </c>
      <c r="S50" s="58">
        <f>R50/2.20371</f>
        <v>155.6472052168086</v>
      </c>
      <c r="T50" s="58"/>
    </row>
    <row r="51" spans="2:9" ht="12.75">
      <c r="B51" s="1">
        <v>37509</v>
      </c>
      <c r="D51" s="15">
        <v>0.54</v>
      </c>
      <c r="E51">
        <v>400</v>
      </c>
      <c r="G51" s="15">
        <f>I51/E51</f>
        <v>0.53585</v>
      </c>
      <c r="I51" s="18">
        <v>214.34</v>
      </c>
    </row>
    <row r="52" spans="2:9" ht="12.75">
      <c r="B52" s="1">
        <v>37635</v>
      </c>
      <c r="D52" s="15">
        <v>0.51</v>
      </c>
      <c r="E52">
        <v>1050</v>
      </c>
      <c r="G52" s="15">
        <f>I52/E52</f>
        <v>0.6003619047619048</v>
      </c>
      <c r="I52" s="18">
        <v>630.38</v>
      </c>
    </row>
    <row r="53" spans="2:17" ht="12.75">
      <c r="B53" s="1">
        <v>37744</v>
      </c>
      <c r="D53" s="15">
        <v>55.89</v>
      </c>
      <c r="E53">
        <v>800</v>
      </c>
      <c r="G53" s="15">
        <f>I53/E53</f>
        <v>0.6591374999999999</v>
      </c>
      <c r="I53" s="18">
        <v>527.31</v>
      </c>
      <c r="N53">
        <v>1999</v>
      </c>
      <c r="O53">
        <v>3202</v>
      </c>
      <c r="P53">
        <v>4880</v>
      </c>
      <c r="Q53" s="53">
        <v>66</v>
      </c>
    </row>
    <row r="54" spans="1:19" s="9" customFormat="1" ht="12.75">
      <c r="A54" s="9">
        <v>2002</v>
      </c>
      <c r="B54" s="10"/>
      <c r="C54" s="11"/>
      <c r="D54" s="23"/>
      <c r="E54" s="59">
        <f>SUM(E51:E53)</f>
        <v>2250</v>
      </c>
      <c r="F54" s="14"/>
      <c r="G54" s="23"/>
      <c r="H54" s="12"/>
      <c r="I54" s="24">
        <f>SUM(I51:I53)</f>
        <v>1372.03</v>
      </c>
      <c r="J54" s="12">
        <f>H52+H53</f>
        <v>0</v>
      </c>
      <c r="K54" s="25">
        <f>I52+I53</f>
        <v>1157.69</v>
      </c>
      <c r="L54" s="9">
        <v>134</v>
      </c>
      <c r="Q54" s="54">
        <v>0</v>
      </c>
      <c r="R54" s="60">
        <f>(K54+Q54)/12+Q53</f>
        <v>162.4741666666667</v>
      </c>
      <c r="S54" s="60">
        <f>R54</f>
        <v>162.4741666666667</v>
      </c>
    </row>
    <row r="55" spans="2:18" ht="12.75">
      <c r="B55" s="1" t="s">
        <v>23</v>
      </c>
      <c r="D55" s="15">
        <v>48.35</v>
      </c>
      <c r="E55">
        <v>980</v>
      </c>
      <c r="G55" s="15">
        <f>I55/E55</f>
        <v>0.5693877551020409</v>
      </c>
      <c r="I55" s="18">
        <v>558</v>
      </c>
      <c r="R55" s="21" t="s">
        <v>7</v>
      </c>
    </row>
    <row r="56" spans="2:18" ht="12.75">
      <c r="B56" s="1">
        <v>38037</v>
      </c>
      <c r="D56" s="15">
        <v>48.57</v>
      </c>
      <c r="E56">
        <v>900</v>
      </c>
      <c r="G56" s="15">
        <f>I56/E56</f>
        <v>0.5720333333333334</v>
      </c>
      <c r="I56" s="18">
        <v>514.83</v>
      </c>
      <c r="R56" s="21" t="s">
        <v>7</v>
      </c>
    </row>
    <row r="57" spans="1:18" s="9" customFormat="1" ht="12.75">
      <c r="A57" s="9" t="s">
        <v>24</v>
      </c>
      <c r="B57" s="10"/>
      <c r="C57" s="11"/>
      <c r="D57" s="23"/>
      <c r="E57" s="9">
        <f>SUM(E55:E56)</f>
        <v>1880</v>
      </c>
      <c r="F57" s="14"/>
      <c r="G57" s="23"/>
      <c r="H57" s="12"/>
      <c r="I57" s="24">
        <f>SUM(I55:I56)</f>
        <v>1072.83</v>
      </c>
      <c r="J57" s="12"/>
      <c r="K57" s="25"/>
      <c r="N57" s="9">
        <v>3524</v>
      </c>
      <c r="O57" s="9">
        <v>2270</v>
      </c>
      <c r="P57" s="9">
        <v>5453</v>
      </c>
      <c r="Q57" s="54">
        <v>73</v>
      </c>
      <c r="R57" s="60"/>
    </row>
    <row r="58" spans="11:19" ht="12.75">
      <c r="K58" s="17">
        <f>I55+I56</f>
        <v>1072.83</v>
      </c>
      <c r="L58">
        <v>136</v>
      </c>
      <c r="M58">
        <v>20</v>
      </c>
      <c r="Q58" s="53">
        <v>23</v>
      </c>
      <c r="R58" s="21">
        <f>(K58+Q58)/12+Q57</f>
        <v>164.31916666666666</v>
      </c>
      <c r="S58" s="21">
        <f>R58</f>
        <v>164.31916666666666</v>
      </c>
    </row>
    <row r="59" spans="2:18" ht="12.75">
      <c r="B59" s="1">
        <v>38290</v>
      </c>
      <c r="D59" s="15">
        <v>55.07</v>
      </c>
      <c r="E59">
        <v>900</v>
      </c>
      <c r="G59" s="15">
        <f>I59/E59</f>
        <v>0.6493777777777778</v>
      </c>
      <c r="I59" s="18">
        <v>584.44</v>
      </c>
      <c r="R59" s="21" t="s">
        <v>7</v>
      </c>
    </row>
    <row r="60" spans="2:16" ht="12.75">
      <c r="B60" s="1">
        <v>38377</v>
      </c>
      <c r="D60" s="15">
        <v>53.68</v>
      </c>
      <c r="E60">
        <v>1050</v>
      </c>
      <c r="G60" s="15">
        <f>I60/E60</f>
        <v>0.6328380952380953</v>
      </c>
      <c r="I60" s="18">
        <v>664.48</v>
      </c>
      <c r="L60">
        <f>258-136</f>
        <v>122</v>
      </c>
      <c r="N60">
        <f>35919-32475</f>
        <v>3444</v>
      </c>
      <c r="O60">
        <f>26816-24252</f>
        <v>2564</v>
      </c>
      <c r="P60">
        <v>5895</v>
      </c>
    </row>
    <row r="61" spans="1:17" ht="12.75">
      <c r="A61" t="s">
        <v>7</v>
      </c>
      <c r="B61" s="1">
        <v>38517</v>
      </c>
      <c r="D61" s="15">
        <v>54.72</v>
      </c>
      <c r="E61">
        <v>750</v>
      </c>
      <c r="G61" s="15">
        <f>I61/E61</f>
        <v>0.6452133333333334</v>
      </c>
      <c r="I61" s="18">
        <v>483.91</v>
      </c>
      <c r="K61" s="17">
        <f>I60+I59+I65/2</f>
        <v>1610.8200000000002</v>
      </c>
      <c r="L61">
        <v>152</v>
      </c>
      <c r="M61">
        <v>22</v>
      </c>
      <c r="Q61" s="53">
        <v>48</v>
      </c>
    </row>
    <row r="62" spans="1:21" s="9" customFormat="1" ht="12.75">
      <c r="A62" s="9">
        <v>2004</v>
      </c>
      <c r="B62" s="10"/>
      <c r="C62" s="11"/>
      <c r="D62" s="23"/>
      <c r="E62" s="9">
        <f>SUM(E59:E61)</f>
        <v>2700</v>
      </c>
      <c r="F62" s="14"/>
      <c r="G62" s="23"/>
      <c r="H62" s="12"/>
      <c r="I62" s="24">
        <f>SUM(I59:I60)</f>
        <v>1248.92</v>
      </c>
      <c r="J62" s="12"/>
      <c r="K62" s="25"/>
      <c r="M62" s="9">
        <v>17</v>
      </c>
      <c r="Q62" s="54">
        <v>73</v>
      </c>
      <c r="R62" s="35">
        <f>K61/12+M62+Q62</f>
        <v>224.235</v>
      </c>
      <c r="T62" s="35">
        <f>R62*12/4</f>
        <v>672.705</v>
      </c>
      <c r="U62" s="9" t="s">
        <v>25</v>
      </c>
    </row>
    <row r="63" ht="12.75"/>
    <row r="64" spans="2:17" ht="12.75">
      <c r="B64" s="1">
        <v>38708</v>
      </c>
      <c r="D64" s="15">
        <v>63.56</v>
      </c>
      <c r="E64">
        <v>980</v>
      </c>
      <c r="G64" s="15">
        <f>I64/E64</f>
        <v>0.7504183673469388</v>
      </c>
      <c r="I64" s="18">
        <v>735.41</v>
      </c>
      <c r="P64">
        <v>6137</v>
      </c>
      <c r="Q64" s="53">
        <v>85</v>
      </c>
    </row>
    <row r="65" spans="2:21" ht="12.75">
      <c r="B65" s="1">
        <v>38756</v>
      </c>
      <c r="D65" s="15">
        <v>65.9</v>
      </c>
      <c r="E65">
        <v>930</v>
      </c>
      <c r="G65" s="15">
        <f>I65/E65</f>
        <v>0.778279569892473</v>
      </c>
      <c r="I65" s="18">
        <v>723.8</v>
      </c>
      <c r="N65">
        <f>2582+599</f>
        <v>3181</v>
      </c>
      <c r="O65">
        <f>3363+797</f>
        <v>4160</v>
      </c>
      <c r="P65">
        <v>7513</v>
      </c>
      <c r="Q65" s="53">
        <v>127</v>
      </c>
      <c r="R65" s="21">
        <f>I67/12+Q64+Q65</f>
        <v>390.1141666666666</v>
      </c>
      <c r="T65" s="21">
        <f>R65*4</f>
        <v>1560.4566666666665</v>
      </c>
      <c r="U65" t="s">
        <v>25</v>
      </c>
    </row>
    <row r="66" spans="2:20" s="26" customFormat="1" ht="12.75">
      <c r="B66" s="27">
        <v>38832</v>
      </c>
      <c r="C66" s="28"/>
      <c r="D66" s="29"/>
      <c r="E66" s="26">
        <v>900</v>
      </c>
      <c r="F66" s="30"/>
      <c r="G66" s="29">
        <f>I66/E66</f>
        <v>0.753511111111111</v>
      </c>
      <c r="H66" s="31"/>
      <c r="I66" s="32">
        <v>678.16</v>
      </c>
      <c r="J66" s="31"/>
      <c r="K66" s="33"/>
      <c r="Q66" s="55"/>
      <c r="R66" s="34"/>
      <c r="T66" s="34"/>
    </row>
    <row r="67" spans="1:17" s="9" customFormat="1" ht="12.75">
      <c r="A67" s="9">
        <v>2005</v>
      </c>
      <c r="B67" s="10"/>
      <c r="C67" s="11"/>
      <c r="D67" s="23"/>
      <c r="E67" s="9">
        <f>SUM(E64:E66)</f>
        <v>2810</v>
      </c>
      <c r="F67" s="14"/>
      <c r="G67" s="23"/>
      <c r="H67" s="12"/>
      <c r="I67" s="24">
        <f>SUM(I64:I66)</f>
        <v>2137.37</v>
      </c>
      <c r="J67" s="12"/>
      <c r="K67" s="25"/>
      <c r="Q67" s="54"/>
    </row>
    <row r="68" spans="2:20" ht="12.75">
      <c r="B68" s="1">
        <v>39059</v>
      </c>
      <c r="E68">
        <v>950</v>
      </c>
      <c r="G68" s="15">
        <f>I68/E68</f>
        <v>0.7287578947368422</v>
      </c>
      <c r="I68" s="18">
        <v>692.32</v>
      </c>
      <c r="J68" s="2">
        <f>I68+I66+I65</f>
        <v>2094.2799999999997</v>
      </c>
      <c r="R68" s="21"/>
      <c r="T68" s="21"/>
    </row>
    <row r="69" spans="2:9" ht="12.75">
      <c r="B69" s="1">
        <v>39118</v>
      </c>
      <c r="D69" s="15">
        <v>61.74</v>
      </c>
      <c r="E69">
        <v>1000</v>
      </c>
      <c r="G69" s="15">
        <f>I69/E69</f>
        <v>0.7286699999999999</v>
      </c>
      <c r="I69" s="18">
        <v>728.67</v>
      </c>
    </row>
    <row r="70" spans="2:9" ht="12.75">
      <c r="B70" s="1">
        <v>39183</v>
      </c>
      <c r="D70" s="15">
        <v>61.74</v>
      </c>
      <c r="E70">
        <v>970</v>
      </c>
      <c r="G70" s="15">
        <f>I70/E70</f>
        <v>0.7287628865979381</v>
      </c>
      <c r="I70" s="18">
        <v>706.9</v>
      </c>
    </row>
    <row r="71" spans="1:17" s="9" customFormat="1" ht="12.75">
      <c r="A71" s="9">
        <v>2006</v>
      </c>
      <c r="B71" s="10"/>
      <c r="C71" s="11"/>
      <c r="D71" s="23"/>
      <c r="E71" s="9">
        <f>SUM(E68:E70)</f>
        <v>2920</v>
      </c>
      <c r="F71" s="14"/>
      <c r="G71" s="15" t="s">
        <v>7</v>
      </c>
      <c r="H71" s="12"/>
      <c r="I71" s="24">
        <f>SUM(I68:I70)</f>
        <v>2127.89</v>
      </c>
      <c r="J71" s="12"/>
      <c r="K71" s="25"/>
      <c r="L71" s="9">
        <v>282</v>
      </c>
      <c r="N71" s="9">
        <v>7584</v>
      </c>
      <c r="O71" s="9">
        <v>622</v>
      </c>
      <c r="P71" s="9">
        <v>8139</v>
      </c>
      <c r="Q71" s="54"/>
    </row>
    <row r="72" spans="1:9" ht="12.75">
      <c r="A72">
        <v>2007</v>
      </c>
      <c r="B72" s="1">
        <v>39386</v>
      </c>
      <c r="D72" s="15">
        <v>56.26</v>
      </c>
      <c r="E72">
        <v>980</v>
      </c>
      <c r="G72" s="15">
        <f aca="true" t="shared" si="6" ref="G72:G104">I72/E72</f>
        <v>0.6635510204081633</v>
      </c>
      <c r="I72" s="18">
        <v>650.28</v>
      </c>
    </row>
    <row r="73" spans="2:9" ht="12.75">
      <c r="B73" s="1">
        <v>39803</v>
      </c>
      <c r="D73" s="15">
        <v>60.94</v>
      </c>
      <c r="E73">
        <v>934</v>
      </c>
      <c r="G73" s="15">
        <f t="shared" si="6"/>
        <v>0.7192398286937901</v>
      </c>
      <c r="I73" s="18">
        <v>671.77</v>
      </c>
    </row>
    <row r="74" spans="2:18" ht="12.75">
      <c r="B74" s="1">
        <v>39493</v>
      </c>
      <c r="D74" s="15">
        <v>59.38</v>
      </c>
      <c r="E74">
        <v>950</v>
      </c>
      <c r="G74" s="15">
        <f t="shared" si="6"/>
        <v>0.7006736842105263</v>
      </c>
      <c r="I74" s="18">
        <v>665.64</v>
      </c>
      <c r="L74">
        <v>227</v>
      </c>
      <c r="M74">
        <v>29.2</v>
      </c>
      <c r="N74">
        <v>3392</v>
      </c>
      <c r="O74">
        <v>4324</v>
      </c>
      <c r="P74">
        <v>7933</v>
      </c>
      <c r="Q74" s="54">
        <f>(161*5+145+121*6)/12</f>
        <v>139.66666666666666</v>
      </c>
      <c r="R74" s="20">
        <f>I76/12+Q74</f>
        <v>356.6975</v>
      </c>
    </row>
    <row r="75" spans="2:9" ht="12.75">
      <c r="B75" s="1">
        <v>39547</v>
      </c>
      <c r="D75" s="15">
        <v>58.08</v>
      </c>
      <c r="E75">
        <v>900</v>
      </c>
      <c r="G75" s="15">
        <f t="shared" si="6"/>
        <v>0.6851999999999999</v>
      </c>
      <c r="I75" s="18">
        <v>616.68</v>
      </c>
    </row>
    <row r="76" spans="2:17" s="9" customFormat="1" ht="12.75">
      <c r="B76" s="10"/>
      <c r="C76" s="11"/>
      <c r="D76" s="23"/>
      <c r="E76" s="9">
        <f>SUM(E72:E75)</f>
        <v>3764</v>
      </c>
      <c r="F76" s="14"/>
      <c r="G76" s="23">
        <f t="shared" si="6"/>
        <v>0.6919155154091392</v>
      </c>
      <c r="H76" s="12"/>
      <c r="I76" s="24">
        <f>SUM(I72:I75)</f>
        <v>2604.37</v>
      </c>
      <c r="J76" s="12"/>
      <c r="K76" s="25"/>
      <c r="P76" s="9">
        <v>8280</v>
      </c>
      <c r="Q76" s="54">
        <v>137</v>
      </c>
    </row>
    <row r="77" spans="1:9" ht="12.75">
      <c r="A77">
        <v>2008</v>
      </c>
      <c r="B77" s="1">
        <v>39765</v>
      </c>
      <c r="D77" s="15">
        <v>52.55</v>
      </c>
      <c r="E77">
        <v>910</v>
      </c>
      <c r="G77" s="15">
        <f t="shared" si="6"/>
        <v>0.5255054945054944</v>
      </c>
      <c r="I77" s="18">
        <v>478.21</v>
      </c>
    </row>
    <row r="78" spans="2:9" ht="12.75">
      <c r="B78" s="1">
        <v>39805</v>
      </c>
      <c r="D78" s="15">
        <v>45.01</v>
      </c>
      <c r="E78">
        <v>900</v>
      </c>
      <c r="G78" s="15">
        <f t="shared" si="6"/>
        <v>0.5296666666666666</v>
      </c>
      <c r="I78" s="18">
        <v>476.7</v>
      </c>
    </row>
    <row r="79" spans="1:9" ht="12.75">
      <c r="A79">
        <v>2009</v>
      </c>
      <c r="B79" s="1">
        <v>39844</v>
      </c>
      <c r="D79" s="15">
        <v>52.08</v>
      </c>
      <c r="E79">
        <v>1170</v>
      </c>
      <c r="G79" s="15">
        <f t="shared" si="6"/>
        <v>0.6138034188034188</v>
      </c>
      <c r="I79" s="18">
        <v>718.15</v>
      </c>
    </row>
    <row r="80" spans="2:18" ht="12.75">
      <c r="B80" s="1">
        <v>39892</v>
      </c>
      <c r="D80" s="15">
        <v>46.88</v>
      </c>
      <c r="E80">
        <v>910</v>
      </c>
      <c r="G80" s="15">
        <f t="shared" si="6"/>
        <v>0.551923076923077</v>
      </c>
      <c r="I80" s="18">
        <v>502.25</v>
      </c>
      <c r="N80">
        <v>3747</v>
      </c>
      <c r="O80">
        <v>4885</v>
      </c>
      <c r="P80">
        <v>8492</v>
      </c>
      <c r="R80" s="22">
        <f>(I81+Q76*12+88)/12+M81</f>
        <v>348.80916666666667</v>
      </c>
    </row>
    <row r="81" spans="2:17" s="9" customFormat="1" ht="12.75">
      <c r="B81" s="10"/>
      <c r="C81" s="11"/>
      <c r="D81" s="23"/>
      <c r="E81" s="9">
        <f>SUM(E77:E80)</f>
        <v>3890</v>
      </c>
      <c r="F81" s="14"/>
      <c r="G81" s="23">
        <f t="shared" si="6"/>
        <v>0.5592056555269923</v>
      </c>
      <c r="H81" s="12"/>
      <c r="I81" s="24">
        <f>SUM(I77:I80)</f>
        <v>2175.31</v>
      </c>
      <c r="J81" s="12"/>
      <c r="K81" s="25"/>
      <c r="L81" s="9">
        <v>176</v>
      </c>
      <c r="M81" s="9">
        <v>23.2</v>
      </c>
      <c r="Q81" s="54"/>
    </row>
    <row r="82" spans="2:17" ht="12.75">
      <c r="B82" s="1">
        <v>40107</v>
      </c>
      <c r="D82" s="15">
        <v>52.6</v>
      </c>
      <c r="E82">
        <v>962</v>
      </c>
      <c r="G82" s="15">
        <f t="shared" si="6"/>
        <v>0.525997920997921</v>
      </c>
      <c r="I82" s="18">
        <v>506.01</v>
      </c>
      <c r="P82">
        <v>8678</v>
      </c>
      <c r="Q82" s="53">
        <v>157</v>
      </c>
    </row>
    <row r="83" spans="2:9" ht="12.75">
      <c r="B83" s="1">
        <v>40169</v>
      </c>
      <c r="D83" s="15">
        <v>56.11</v>
      </c>
      <c r="E83">
        <v>1000</v>
      </c>
      <c r="G83" s="15">
        <f t="shared" si="6"/>
        <v>0.66176</v>
      </c>
      <c r="I83" s="18">
        <v>661.76</v>
      </c>
    </row>
    <row r="84" spans="2:18" ht="12.75">
      <c r="B84" s="1">
        <v>40196</v>
      </c>
      <c r="D84" s="15">
        <v>60.48</v>
      </c>
      <c r="E84">
        <v>950</v>
      </c>
      <c r="G84" s="15">
        <f t="shared" si="6"/>
        <v>0.7137578947368421</v>
      </c>
      <c r="I84" s="18">
        <v>678.07</v>
      </c>
      <c r="L84">
        <v>158</v>
      </c>
      <c r="M84">
        <v>21.3</v>
      </c>
      <c r="N84">
        <f>2478+1220</f>
        <v>3698</v>
      </c>
      <c r="O84">
        <f>3061+1507</f>
        <v>4568</v>
      </c>
      <c r="P84">
        <f>N84+O84</f>
        <v>8266</v>
      </c>
      <c r="Q84" s="53">
        <f>1753/12</f>
        <v>146.08333333333334</v>
      </c>
      <c r="R84" s="22">
        <f>I87/12+Q84+M84</f>
        <v>375.4966666666667</v>
      </c>
    </row>
    <row r="85" spans="2:9" ht="12.75">
      <c r="B85" s="1">
        <v>40242</v>
      </c>
      <c r="D85" s="15">
        <v>58.14</v>
      </c>
      <c r="E85">
        <v>950</v>
      </c>
      <c r="G85" s="15">
        <f t="shared" si="6"/>
        <v>0.6858105263157894</v>
      </c>
      <c r="I85" s="18">
        <v>651.52</v>
      </c>
    </row>
    <row r="86" spans="2:9" ht="12.75">
      <c r="B86" s="1">
        <v>40325</v>
      </c>
      <c r="D86" s="15">
        <v>56.71</v>
      </c>
      <c r="E86">
        <v>821</v>
      </c>
      <c r="G86" s="15">
        <f>I86/E86</f>
        <v>0.6688915956151035</v>
      </c>
      <c r="I86" s="18">
        <v>549.16</v>
      </c>
    </row>
    <row r="87" spans="2:17" s="9" customFormat="1" ht="12.75">
      <c r="B87" s="10"/>
      <c r="C87" s="11"/>
      <c r="D87" s="23"/>
      <c r="E87" s="9">
        <f>SUM(E83:E86)</f>
        <v>3721</v>
      </c>
      <c r="F87" s="14"/>
      <c r="G87" s="23"/>
      <c r="H87" s="12"/>
      <c r="I87" s="24">
        <f>SUM(I82:I85)</f>
        <v>2497.36</v>
      </c>
      <c r="J87" s="12"/>
      <c r="K87" s="25"/>
      <c r="Q87" s="54"/>
    </row>
    <row r="88" spans="2:9" ht="12.75">
      <c r="B88" s="1">
        <v>40501</v>
      </c>
      <c r="D88" s="15">
        <v>62.96</v>
      </c>
      <c r="E88">
        <v>926</v>
      </c>
      <c r="G88" s="15">
        <f t="shared" si="6"/>
        <v>0.7400647948164146</v>
      </c>
      <c r="I88" s="18">
        <v>685.3</v>
      </c>
    </row>
    <row r="89" spans="2:18" ht="12.75">
      <c r="B89" s="1">
        <v>40538</v>
      </c>
      <c r="D89" s="15">
        <v>71.53</v>
      </c>
      <c r="E89">
        <v>1003</v>
      </c>
      <c r="G89" s="15">
        <f t="shared" si="6"/>
        <v>0.8452542372881355</v>
      </c>
      <c r="I89" s="18">
        <v>847.79</v>
      </c>
      <c r="L89">
        <v>163.66</v>
      </c>
      <c r="M89">
        <v>23.8</v>
      </c>
      <c r="N89">
        <v>4501</v>
      </c>
      <c r="O89">
        <v>5010</v>
      </c>
      <c r="P89">
        <v>9511</v>
      </c>
      <c r="Q89" s="53">
        <v>152.85</v>
      </c>
      <c r="R89" s="22">
        <f>I92/12+Q89+M89</f>
        <v>419.2216666666667</v>
      </c>
    </row>
    <row r="90" spans="2:9" ht="12.75">
      <c r="B90" s="1">
        <v>40585</v>
      </c>
      <c r="D90" s="15">
        <v>61.78</v>
      </c>
      <c r="E90">
        <v>967</v>
      </c>
      <c r="G90" s="15">
        <f t="shared" si="6"/>
        <v>0.729224405377456</v>
      </c>
      <c r="I90" s="18">
        <v>705.16</v>
      </c>
    </row>
    <row r="91" spans="2:9" ht="12.75">
      <c r="B91" s="1">
        <v>40618</v>
      </c>
      <c r="D91" s="15">
        <v>63.47</v>
      </c>
      <c r="E91">
        <v>897</v>
      </c>
      <c r="G91" s="15">
        <f t="shared" si="6"/>
        <v>0.7498439241917503</v>
      </c>
      <c r="I91" s="18">
        <v>672.61</v>
      </c>
    </row>
    <row r="92" spans="2:17" s="9" customFormat="1" ht="12.75">
      <c r="B92" s="10"/>
      <c r="C92" s="11"/>
      <c r="D92" s="23"/>
      <c r="E92" s="9">
        <f>SUM(E88:E91)</f>
        <v>3793</v>
      </c>
      <c r="F92" s="14"/>
      <c r="G92" s="23"/>
      <c r="H92" s="12"/>
      <c r="I92" s="24">
        <f>SUM(I88:I91)</f>
        <v>2910.86</v>
      </c>
      <c r="J92" s="12"/>
      <c r="K92" s="25"/>
      <c r="N92" s="9">
        <v>2713</v>
      </c>
      <c r="O92" s="9">
        <v>3274</v>
      </c>
      <c r="Q92" s="54">
        <v>156.91</v>
      </c>
    </row>
    <row r="93" spans="2:9" ht="12.75">
      <c r="B93" s="1">
        <v>40816</v>
      </c>
      <c r="D93" s="15">
        <v>63.73</v>
      </c>
      <c r="E93">
        <v>665</v>
      </c>
      <c r="G93" s="15">
        <f t="shared" si="6"/>
        <v>0.7405263157894737</v>
      </c>
      <c r="I93" s="18">
        <v>492.45</v>
      </c>
    </row>
    <row r="94" spans="1:13" ht="12.75">
      <c r="A94" t="s">
        <v>7</v>
      </c>
      <c r="B94" s="1">
        <v>40900</v>
      </c>
      <c r="D94" s="15">
        <v>63.47</v>
      </c>
      <c r="E94">
        <v>841</v>
      </c>
      <c r="G94" s="15">
        <f t="shared" si="6"/>
        <v>0.7491082045184304</v>
      </c>
      <c r="I94" s="18">
        <v>630</v>
      </c>
      <c r="L94">
        <v>163</v>
      </c>
      <c r="M94">
        <f>260.4/12</f>
        <v>21.7</v>
      </c>
    </row>
    <row r="95" spans="2:9" ht="12.75">
      <c r="B95" s="1">
        <v>40946</v>
      </c>
      <c r="D95" s="15">
        <v>71.27</v>
      </c>
      <c r="E95">
        <v>970</v>
      </c>
      <c r="G95" s="15">
        <f t="shared" si="6"/>
        <v>0.8421649484536082</v>
      </c>
      <c r="I95" s="18">
        <v>816.9</v>
      </c>
    </row>
    <row r="96" spans="2:9" ht="12.75">
      <c r="B96" s="1">
        <v>41015</v>
      </c>
      <c r="D96" s="15">
        <v>70.62</v>
      </c>
      <c r="E96">
        <v>902</v>
      </c>
      <c r="G96" s="15">
        <f t="shared" si="6"/>
        <v>0.7061973392461197</v>
      </c>
      <c r="I96" s="18">
        <v>636.99</v>
      </c>
    </row>
    <row r="97" spans="2:17" s="9" customFormat="1" ht="12.75">
      <c r="B97" s="10"/>
      <c r="C97" s="11"/>
      <c r="D97" s="23"/>
      <c r="E97" s="9">
        <f>SUM(E93:E96)</f>
        <v>3378</v>
      </c>
      <c r="F97" s="14"/>
      <c r="G97" s="23"/>
      <c r="H97" s="12"/>
      <c r="I97" s="24">
        <f>SUM(I93:I96)</f>
        <v>2576.34</v>
      </c>
      <c r="J97" s="12"/>
      <c r="K97" s="25"/>
      <c r="N97">
        <v>3813</v>
      </c>
      <c r="O97">
        <v>5738</v>
      </c>
      <c r="P97" s="9">
        <f>SUM(N97:O97)</f>
        <v>9551</v>
      </c>
      <c r="Q97" s="54"/>
    </row>
    <row r="98" spans="2:16" ht="12.75">
      <c r="B98" s="1">
        <v>41220</v>
      </c>
      <c r="D98" s="15">
        <v>61.81</v>
      </c>
      <c r="E98">
        <v>883</v>
      </c>
      <c r="G98" s="15">
        <f t="shared" si="6"/>
        <v>0.7342808607021517</v>
      </c>
      <c r="I98" s="18">
        <v>648.37</v>
      </c>
      <c r="L98">
        <v>189</v>
      </c>
      <c r="M98">
        <v>20.7</v>
      </c>
      <c r="P98" s="19">
        <f>P97/14*12</f>
        <v>8186.5714285714275</v>
      </c>
    </row>
    <row r="99" spans="2:16" ht="12.75">
      <c r="B99" s="1">
        <v>41276</v>
      </c>
      <c r="D99" s="15">
        <v>54.29</v>
      </c>
      <c r="E99">
        <v>1019</v>
      </c>
      <c r="G99" s="15">
        <f t="shared" si="6"/>
        <v>0.6508341511285575</v>
      </c>
      <c r="I99" s="18">
        <v>663.2</v>
      </c>
      <c r="P99" s="19">
        <f>P98-570-279</f>
        <v>7337.5714285714275</v>
      </c>
    </row>
    <row r="100" spans="2:12" ht="12.75">
      <c r="B100" s="1">
        <v>41313</v>
      </c>
      <c r="D100" s="15">
        <v>54.29</v>
      </c>
      <c r="E100">
        <v>1020</v>
      </c>
      <c r="G100" s="15">
        <f t="shared" si="6"/>
        <v>0.6508627450980392</v>
      </c>
      <c r="I100" s="18">
        <v>663.88</v>
      </c>
      <c r="L100">
        <v>169</v>
      </c>
    </row>
    <row r="101" spans="2:9" ht="12.75">
      <c r="B101" s="1">
        <v>41341</v>
      </c>
      <c r="D101" s="15">
        <v>54.03</v>
      </c>
      <c r="E101">
        <v>1043</v>
      </c>
      <c r="G101" s="15">
        <f t="shared" si="6"/>
        <v>0.6477085330776605</v>
      </c>
      <c r="I101" s="18">
        <v>675.56</v>
      </c>
    </row>
    <row r="102" spans="2:17" s="9" customFormat="1" ht="12.75">
      <c r="B102" s="10"/>
      <c r="C102" s="11"/>
      <c r="D102" s="23"/>
      <c r="E102" s="9">
        <f>SUM(E98:E101)</f>
        <v>3965</v>
      </c>
      <c r="F102" s="14"/>
      <c r="G102" s="23"/>
      <c r="H102" s="12"/>
      <c r="I102" s="24">
        <f>SUM(I98:I101)</f>
        <v>2651.01</v>
      </c>
      <c r="J102" s="12"/>
      <c r="K102" s="25"/>
      <c r="Q102" s="54"/>
    </row>
    <row r="103" spans="2:12" ht="12.75">
      <c r="B103" s="1">
        <v>41534</v>
      </c>
      <c r="D103" s="15">
        <v>52.6</v>
      </c>
      <c r="E103">
        <v>950</v>
      </c>
      <c r="G103" s="15" t="s">
        <v>7</v>
      </c>
      <c r="I103" s="18">
        <v>598.89</v>
      </c>
      <c r="L103">
        <v>163</v>
      </c>
    </row>
    <row r="104" spans="2:9" ht="12.75">
      <c r="B104" s="1">
        <v>41603</v>
      </c>
      <c r="D104" s="15">
        <v>55.72</v>
      </c>
      <c r="E104">
        <v>672</v>
      </c>
      <c r="G104" s="15">
        <f t="shared" si="6"/>
        <v>0.6681696428571429</v>
      </c>
      <c r="I104" s="18">
        <v>449.01</v>
      </c>
    </row>
  </sheetData>
  <sheetProtection/>
  <printOptions gridLines="1"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&amp;CPagina &amp;P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0.421875" style="0" bestFit="1" customWidth="1"/>
    <col min="2" max="2" width="13.140625" style="56" bestFit="1" customWidth="1"/>
    <col min="3" max="3" width="14.57421875" style="56" bestFit="1" customWidth="1"/>
  </cols>
  <sheetData>
    <row r="1" spans="1:3" ht="12.75">
      <c r="A1" t="s">
        <v>55</v>
      </c>
      <c r="B1" s="56" t="s">
        <v>56</v>
      </c>
      <c r="C1" s="56" t="s">
        <v>57</v>
      </c>
    </row>
    <row r="2" spans="1:3" ht="12.75">
      <c r="A2" s="1">
        <v>41239</v>
      </c>
      <c r="B2" s="56">
        <v>-37.5</v>
      </c>
      <c r="C2" s="56">
        <v>-1.95</v>
      </c>
    </row>
    <row r="3" spans="1:3" ht="12.75">
      <c r="A3" s="57">
        <v>41245</v>
      </c>
      <c r="B3" s="56">
        <v>-5</v>
      </c>
      <c r="C3" s="56">
        <v>-0.26</v>
      </c>
    </row>
    <row r="4" spans="1:3" ht="12.75">
      <c r="A4" s="8">
        <v>41253</v>
      </c>
      <c r="B4" s="56">
        <v>17.5</v>
      </c>
      <c r="C4">
        <v>0.91</v>
      </c>
    </row>
    <row r="5" spans="1:3" ht="12.75">
      <c r="A5" s="8">
        <v>41260</v>
      </c>
      <c r="B5" s="56">
        <v>-35</v>
      </c>
      <c r="C5" s="56">
        <v>-1.82</v>
      </c>
    </row>
    <row r="6" spans="1:3" ht="12.75">
      <c r="A6" s="8">
        <v>24.12</v>
      </c>
      <c r="B6" s="56">
        <v>-57</v>
      </c>
      <c r="C6" s="56">
        <v>-2</v>
      </c>
    </row>
    <row r="7" spans="1:3" ht="12.75">
      <c r="A7" s="8">
        <v>41323</v>
      </c>
      <c r="B7" s="56">
        <v>7.5</v>
      </c>
      <c r="C7" s="56">
        <v>0.39</v>
      </c>
    </row>
    <row r="8" spans="1:3" ht="12.75">
      <c r="A8" s="8">
        <v>41328</v>
      </c>
      <c r="B8" s="56">
        <v>-20</v>
      </c>
      <c r="C8" s="56">
        <v>-1.04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9">
      <selection activeCell="K18" sqref="J18:K18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G10" sqref="G10:H10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0.421875" style="0" customWidth="1"/>
    <col min="3" max="3" width="9.140625" style="5" customWidth="1"/>
    <col min="4" max="4" width="12.421875" style="0" customWidth="1"/>
    <col min="5" max="5" width="11.00390625" style="5" customWidth="1"/>
  </cols>
  <sheetData>
    <row r="1" spans="1:4" ht="12.75">
      <c r="A1" s="3" t="s">
        <v>11</v>
      </c>
      <c r="B1" s="3"/>
      <c r="C1" s="7"/>
      <c r="D1" s="3"/>
    </row>
    <row r="2" spans="1:5" ht="12.75">
      <c r="A2" t="s">
        <v>12</v>
      </c>
      <c r="B2" t="s">
        <v>13</v>
      </c>
      <c r="C2" s="5" t="s">
        <v>14</v>
      </c>
      <c r="D2" t="s">
        <v>15</v>
      </c>
      <c r="E2" s="5" t="s">
        <v>16</v>
      </c>
    </row>
    <row r="3" spans="1:5" ht="12.75">
      <c r="A3">
        <v>1000</v>
      </c>
      <c r="B3">
        <v>24</v>
      </c>
      <c r="C3" s="5">
        <v>13.2</v>
      </c>
      <c r="D3">
        <v>614</v>
      </c>
      <c r="E3" s="5">
        <f>D3*0.55</f>
        <v>337.70000000000005</v>
      </c>
    </row>
    <row r="4" spans="1:5" ht="12.75">
      <c r="A4">
        <v>1200</v>
      </c>
      <c r="B4">
        <v>29</v>
      </c>
      <c r="C4" s="5">
        <v>15.95</v>
      </c>
      <c r="D4">
        <v>737</v>
      </c>
      <c r="E4" s="5">
        <f aca="true" t="shared" si="0" ref="E4:E19">D4*0.55</f>
        <v>405.35</v>
      </c>
    </row>
    <row r="5" spans="1:5" ht="12.75">
      <c r="A5">
        <v>1400</v>
      </c>
      <c r="B5">
        <v>34</v>
      </c>
      <c r="C5" s="5">
        <v>18.7</v>
      </c>
      <c r="D5">
        <v>860</v>
      </c>
      <c r="E5" s="5">
        <f t="shared" si="0"/>
        <v>473.00000000000006</v>
      </c>
    </row>
    <row r="6" spans="1:5" ht="12.75">
      <c r="A6">
        <v>1600</v>
      </c>
      <c r="B6">
        <v>39</v>
      </c>
      <c r="C6" s="5">
        <v>21.45</v>
      </c>
      <c r="D6">
        <v>983</v>
      </c>
      <c r="E6" s="5">
        <f t="shared" si="0"/>
        <v>540.6500000000001</v>
      </c>
    </row>
    <row r="7" spans="1:5" ht="12.75">
      <c r="A7">
        <v>1800</v>
      </c>
      <c r="B7">
        <v>44</v>
      </c>
      <c r="C7" s="5">
        <v>24.2</v>
      </c>
      <c r="D7">
        <v>1106</v>
      </c>
      <c r="E7" s="5">
        <f t="shared" si="0"/>
        <v>608.3000000000001</v>
      </c>
    </row>
    <row r="8" spans="1:5" ht="12.75">
      <c r="A8">
        <v>2000</v>
      </c>
      <c r="B8">
        <v>49</v>
      </c>
      <c r="C8" s="5">
        <v>26.95</v>
      </c>
      <c r="D8">
        <v>1229</v>
      </c>
      <c r="E8" s="5">
        <f t="shared" si="0"/>
        <v>675.95</v>
      </c>
    </row>
    <row r="9" spans="1:5" ht="12.75">
      <c r="A9">
        <v>2200</v>
      </c>
      <c r="B9">
        <v>54</v>
      </c>
      <c r="C9" s="5">
        <v>29.7</v>
      </c>
      <c r="D9">
        <v>1352</v>
      </c>
      <c r="E9" s="5">
        <f t="shared" si="0"/>
        <v>743.6</v>
      </c>
    </row>
    <row r="10" spans="1:5" ht="12.75">
      <c r="A10">
        <v>2400</v>
      </c>
      <c r="B10">
        <v>59</v>
      </c>
      <c r="C10" s="5">
        <v>32.45</v>
      </c>
      <c r="D10">
        <v>1475</v>
      </c>
      <c r="E10" s="5">
        <f t="shared" si="0"/>
        <v>811.2500000000001</v>
      </c>
    </row>
    <row r="11" spans="1:5" ht="12.75">
      <c r="A11">
        <v>2600</v>
      </c>
      <c r="B11">
        <v>64</v>
      </c>
      <c r="C11" s="5">
        <v>35.2</v>
      </c>
      <c r="D11">
        <v>1598</v>
      </c>
      <c r="E11" s="5">
        <f t="shared" si="0"/>
        <v>878.9000000000001</v>
      </c>
    </row>
    <row r="12" spans="1:5" ht="12.75">
      <c r="A12">
        <v>2800</v>
      </c>
      <c r="B12">
        <v>69</v>
      </c>
      <c r="C12" s="5">
        <v>37.95</v>
      </c>
      <c r="D12">
        <v>1721</v>
      </c>
      <c r="E12" s="5">
        <f t="shared" si="0"/>
        <v>946.5500000000001</v>
      </c>
    </row>
    <row r="13" spans="1:5" ht="12.75">
      <c r="A13">
        <v>3000</v>
      </c>
      <c r="B13">
        <v>74</v>
      </c>
      <c r="C13" s="5">
        <v>40.7</v>
      </c>
      <c r="D13">
        <v>1844</v>
      </c>
      <c r="E13" s="5">
        <f t="shared" si="0"/>
        <v>1014.2</v>
      </c>
    </row>
    <row r="14" spans="1:5" ht="12.75">
      <c r="A14">
        <v>3200</v>
      </c>
      <c r="B14">
        <v>79</v>
      </c>
      <c r="C14" s="5">
        <v>43.45</v>
      </c>
      <c r="D14">
        <v>1967</v>
      </c>
      <c r="E14" s="5">
        <f t="shared" si="0"/>
        <v>1081.8500000000001</v>
      </c>
    </row>
    <row r="15" spans="1:5" ht="12.75">
      <c r="A15">
        <v>3400</v>
      </c>
      <c r="B15">
        <v>84</v>
      </c>
      <c r="C15" s="5">
        <v>46.2</v>
      </c>
      <c r="D15">
        <v>2090</v>
      </c>
      <c r="E15" s="5">
        <f t="shared" si="0"/>
        <v>1149.5</v>
      </c>
    </row>
    <row r="16" spans="1:5" ht="12.75">
      <c r="A16">
        <v>3600</v>
      </c>
      <c r="B16">
        <v>89</v>
      </c>
      <c r="C16" s="5">
        <v>48.95</v>
      </c>
      <c r="D16">
        <v>2213</v>
      </c>
      <c r="E16" s="5">
        <f t="shared" si="0"/>
        <v>1217.15</v>
      </c>
    </row>
    <row r="17" spans="1:5" ht="12.75">
      <c r="A17">
        <v>3800</v>
      </c>
      <c r="B17">
        <v>94</v>
      </c>
      <c r="C17" s="5">
        <v>51.7</v>
      </c>
      <c r="D17">
        <v>2336</v>
      </c>
      <c r="E17" s="5">
        <f t="shared" si="0"/>
        <v>1284.8000000000002</v>
      </c>
    </row>
    <row r="18" spans="1:5" ht="12.75">
      <c r="A18">
        <v>4000</v>
      </c>
      <c r="B18">
        <v>99</v>
      </c>
      <c r="C18" s="5">
        <v>54.45</v>
      </c>
      <c r="D18">
        <v>2459</v>
      </c>
      <c r="E18" s="5">
        <f t="shared" si="0"/>
        <v>1352.45</v>
      </c>
    </row>
    <row r="19" spans="1:5" ht="12.75">
      <c r="A19">
        <v>4200</v>
      </c>
      <c r="B19">
        <v>104</v>
      </c>
      <c r="C19" s="5">
        <v>57.2</v>
      </c>
      <c r="D19">
        <v>2582</v>
      </c>
      <c r="E19" s="5">
        <f t="shared" si="0"/>
        <v>1420.1000000000001</v>
      </c>
    </row>
    <row r="20" spans="1:5" ht="12.75">
      <c r="A20">
        <v>4400</v>
      </c>
      <c r="B20">
        <v>109</v>
      </c>
      <c r="C20" s="5">
        <v>59.95</v>
      </c>
      <c r="D20">
        <v>2705</v>
      </c>
      <c r="E20" s="5">
        <f aca="true" t="shared" si="1" ref="E20:E28">D20*0.55</f>
        <v>1487.7500000000002</v>
      </c>
    </row>
    <row r="21" spans="1:5" ht="12.75">
      <c r="A21">
        <v>4600</v>
      </c>
      <c r="B21">
        <v>114</v>
      </c>
      <c r="C21" s="5">
        <v>62.7</v>
      </c>
      <c r="D21">
        <v>2828</v>
      </c>
      <c r="E21" s="5">
        <f t="shared" si="1"/>
        <v>1555.4</v>
      </c>
    </row>
    <row r="22" spans="1:5" ht="12.75">
      <c r="A22">
        <v>4800</v>
      </c>
      <c r="B22">
        <v>119</v>
      </c>
      <c r="C22" s="5">
        <v>65.45</v>
      </c>
      <c r="D22">
        <v>2951</v>
      </c>
      <c r="E22" s="5">
        <f t="shared" si="1"/>
        <v>1623.0500000000002</v>
      </c>
    </row>
    <row r="23" spans="1:5" ht="12.75">
      <c r="A23">
        <v>5000</v>
      </c>
      <c r="B23">
        <v>124</v>
      </c>
      <c r="C23" s="5">
        <v>68.2</v>
      </c>
      <c r="D23">
        <v>3074</v>
      </c>
      <c r="E23" s="5">
        <f t="shared" si="1"/>
        <v>1690.7</v>
      </c>
    </row>
    <row r="24" spans="1:5" ht="12.75">
      <c r="A24">
        <v>5200</v>
      </c>
      <c r="B24">
        <v>129</v>
      </c>
      <c r="C24" s="5">
        <v>70.95</v>
      </c>
      <c r="D24">
        <v>3197</v>
      </c>
      <c r="E24" s="5">
        <f t="shared" si="1"/>
        <v>1758.3500000000001</v>
      </c>
    </row>
    <row r="25" spans="1:7" ht="12.75">
      <c r="A25">
        <v>5400</v>
      </c>
      <c r="B25">
        <v>134</v>
      </c>
      <c r="C25" s="5">
        <v>73.7</v>
      </c>
      <c r="D25">
        <v>3320</v>
      </c>
      <c r="E25" s="5">
        <f t="shared" si="1"/>
        <v>1826.0000000000002</v>
      </c>
      <c r="G25" s="2" t="s">
        <v>7</v>
      </c>
    </row>
    <row r="26" spans="1:7" ht="12.75">
      <c r="A26">
        <v>5600</v>
      </c>
      <c r="B26">
        <v>139</v>
      </c>
      <c r="C26" s="5">
        <v>76.45</v>
      </c>
      <c r="D26">
        <v>3443</v>
      </c>
      <c r="E26" s="5">
        <f t="shared" si="1"/>
        <v>1893.65</v>
      </c>
      <c r="G26" s="2">
        <v>1891</v>
      </c>
    </row>
    <row r="27" spans="1:5" ht="12.75">
      <c r="A27">
        <v>5800</v>
      </c>
      <c r="B27">
        <v>144</v>
      </c>
      <c r="C27" s="5">
        <v>79.2</v>
      </c>
      <c r="D27">
        <v>3566</v>
      </c>
      <c r="E27" s="5">
        <f t="shared" si="1"/>
        <v>1961.3000000000002</v>
      </c>
    </row>
    <row r="28" spans="1:5" ht="12.75">
      <c r="A28">
        <v>6000</v>
      </c>
      <c r="B28">
        <v>149</v>
      </c>
      <c r="C28" s="5">
        <v>81.95</v>
      </c>
      <c r="D28">
        <v>3689</v>
      </c>
      <c r="E28" s="5">
        <f t="shared" si="1"/>
        <v>2028.9500000000003</v>
      </c>
    </row>
  </sheetData>
  <sheetProtection/>
  <printOptions gridLines="1"/>
  <pageMargins left="0.75" right="0.75" top="1" bottom="1" header="0.5" footer="0.5"/>
  <pageSetup horizontalDpi="300" verticalDpi="300" orientation="portrait" paperSize="7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5"/>
  <sheetViews>
    <sheetView zoomScalePageLayoutView="0" workbookViewId="0" topLeftCell="D1">
      <selection activeCell="E5" sqref="C2:E5"/>
    </sheetView>
  </sheetViews>
  <sheetFormatPr defaultColWidth="9.140625" defaultRowHeight="12.75"/>
  <cols>
    <col min="2" max="2" width="10.28125" style="0" bestFit="1" customWidth="1"/>
    <col min="3" max="3" width="10.7109375" style="0" bestFit="1" customWidth="1"/>
    <col min="5" max="5" width="10.28125" style="0" bestFit="1" customWidth="1"/>
    <col min="6" max="6" width="5.8515625" style="53" bestFit="1" customWidth="1"/>
    <col min="7" max="7" width="8.7109375" style="53" customWidth="1"/>
  </cols>
  <sheetData>
    <row r="1" spans="2:11" ht="12.75">
      <c r="B1" t="s">
        <v>1</v>
      </c>
      <c r="C1" s="8">
        <v>41487</v>
      </c>
      <c r="D1" s="8">
        <v>41547</v>
      </c>
      <c r="E1" t="s">
        <v>62</v>
      </c>
      <c r="F1" s="53" t="s">
        <v>63</v>
      </c>
      <c r="G1" s="53" t="s">
        <v>64</v>
      </c>
      <c r="J1" s="61" t="s">
        <v>65</v>
      </c>
      <c r="K1">
        <v>7500</v>
      </c>
    </row>
    <row r="2" spans="2:11" ht="12.75">
      <c r="B2" t="s">
        <v>58</v>
      </c>
      <c r="C2">
        <v>4217</v>
      </c>
      <c r="D2">
        <v>4924</v>
      </c>
      <c r="E2">
        <v>707</v>
      </c>
      <c r="F2" s="53">
        <v>0.2188</v>
      </c>
      <c r="G2" s="53">
        <f>E2*F2</f>
        <v>154.6916</v>
      </c>
      <c r="J2" s="61" t="s">
        <v>66</v>
      </c>
      <c r="K2">
        <v>1700</v>
      </c>
    </row>
    <row r="3" spans="2:11" ht="12.75">
      <c r="B3" t="s">
        <v>59</v>
      </c>
      <c r="C3">
        <v>2474</v>
      </c>
      <c r="D3">
        <v>2838</v>
      </c>
      <c r="E3">
        <f>D3-C3</f>
        <v>364</v>
      </c>
      <c r="F3" s="53">
        <v>0.2384</v>
      </c>
      <c r="G3" s="53">
        <f>E3*F3</f>
        <v>86.7776</v>
      </c>
      <c r="J3" s="61" t="s">
        <v>67</v>
      </c>
      <c r="K3">
        <f>K1-K2</f>
        <v>5800</v>
      </c>
    </row>
    <row r="4" spans="2:9" ht="12.75">
      <c r="B4" t="s">
        <v>60</v>
      </c>
      <c r="C4">
        <v>439</v>
      </c>
      <c r="D4">
        <v>523</v>
      </c>
      <c r="E4">
        <f>D4-C4</f>
        <v>84</v>
      </c>
      <c r="F4" s="53">
        <v>0.2188</v>
      </c>
      <c r="G4" s="53">
        <f>-E4*F4</f>
        <v>-18.3792</v>
      </c>
      <c r="I4" s="53">
        <f>D4*F4</f>
        <v>114.4324</v>
      </c>
    </row>
    <row r="5" spans="2:11" ht="12.75">
      <c r="B5" t="s">
        <v>61</v>
      </c>
      <c r="C5">
        <v>944</v>
      </c>
      <c r="D5">
        <v>1227</v>
      </c>
      <c r="E5">
        <f>D5-C5</f>
        <v>283</v>
      </c>
      <c r="F5" s="53">
        <v>0.2384</v>
      </c>
      <c r="G5" s="53">
        <f>-E5*F5</f>
        <v>-67.4672</v>
      </c>
      <c r="H5" s="53">
        <f>SUM(G2:G5)</f>
        <v>155.62279999999998</v>
      </c>
      <c r="I5" s="53">
        <f>D5*F5</f>
        <v>292.5168</v>
      </c>
      <c r="J5" s="53">
        <f>I4+I5</f>
        <v>406.9492</v>
      </c>
      <c r="K5" s="53">
        <f>J5/K3*100</f>
        <v>7.01636551724138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28">
      <selection activeCell="H22" sqref="C22:H30"/>
    </sheetView>
  </sheetViews>
  <sheetFormatPr defaultColWidth="9.140625" defaultRowHeight="12.75"/>
  <cols>
    <col min="1" max="1" width="20.57421875" style="41" bestFit="1" customWidth="1"/>
    <col min="2" max="2" width="8.421875" style="39" customWidth="1"/>
    <col min="3" max="3" width="5.57421875" style="0" customWidth="1"/>
    <col min="4" max="4" width="3.00390625" style="0" customWidth="1"/>
    <col min="5" max="5" width="3.57421875" style="0" customWidth="1"/>
    <col min="6" max="6" width="2.8515625" style="0" customWidth="1"/>
    <col min="7" max="7" width="3.00390625" style="0" customWidth="1"/>
    <col min="8" max="8" width="12.421875" style="0" bestFit="1" customWidth="1"/>
    <col min="11" max="11" width="12.140625" style="0" bestFit="1" customWidth="1"/>
    <col min="12" max="12" width="11.00390625" style="0" customWidth="1"/>
    <col min="13" max="13" width="11.421875" style="0" customWidth="1"/>
    <col min="14" max="15" width="9.140625" style="36" customWidth="1"/>
  </cols>
  <sheetData>
    <row r="1" spans="1:15" s="45" customFormat="1" ht="38.25">
      <c r="A1" s="42" t="s">
        <v>26</v>
      </c>
      <c r="B1" s="43" t="s">
        <v>27</v>
      </c>
      <c r="C1" s="44" t="s">
        <v>28</v>
      </c>
      <c r="D1" s="44"/>
      <c r="E1" s="44"/>
      <c r="F1" s="44"/>
      <c r="G1" s="44"/>
      <c r="H1" s="44"/>
      <c r="I1" s="44" t="s">
        <v>34</v>
      </c>
      <c r="J1" s="44" t="s">
        <v>35</v>
      </c>
      <c r="K1" s="44" t="s">
        <v>41</v>
      </c>
      <c r="L1" s="45" t="s">
        <v>44</v>
      </c>
      <c r="M1" s="46" t="s">
        <v>45</v>
      </c>
      <c r="N1" s="44" t="s">
        <v>48</v>
      </c>
      <c r="O1" s="44" t="s">
        <v>49</v>
      </c>
    </row>
    <row r="2" spans="1:13" ht="12.75">
      <c r="A2" s="40"/>
      <c r="B2" s="38"/>
      <c r="C2" s="36" t="s">
        <v>29</v>
      </c>
      <c r="D2" s="36" t="s">
        <v>30</v>
      </c>
      <c r="E2" s="36" t="s">
        <v>31</v>
      </c>
      <c r="F2" s="36" t="s">
        <v>32</v>
      </c>
      <c r="G2" s="36" t="s">
        <v>33</v>
      </c>
      <c r="H2" s="36"/>
      <c r="I2" s="36"/>
      <c r="J2" s="36"/>
      <c r="L2" s="36"/>
      <c r="M2" s="47"/>
    </row>
    <row r="3" spans="1:13" ht="12.75">
      <c r="A3" s="40">
        <v>39211</v>
      </c>
      <c r="B3" s="38">
        <v>11</v>
      </c>
      <c r="C3" s="36">
        <v>778</v>
      </c>
      <c r="D3" s="36">
        <v>9</v>
      </c>
      <c r="E3" s="36">
        <v>3</v>
      </c>
      <c r="F3" s="36">
        <v>5</v>
      </c>
      <c r="G3" s="36">
        <v>9</v>
      </c>
      <c r="H3" s="36">
        <v>7789359</v>
      </c>
      <c r="I3" s="36">
        <f>(H4-H3)/10</f>
        <v>344</v>
      </c>
      <c r="J3" s="36"/>
      <c r="K3" s="47"/>
      <c r="L3" s="36"/>
      <c r="M3" s="47"/>
    </row>
    <row r="4" spans="1:13" ht="12.75">
      <c r="A4" s="40">
        <v>39212</v>
      </c>
      <c r="B4" s="38">
        <v>10</v>
      </c>
      <c r="C4" s="36"/>
      <c r="D4" s="36"/>
      <c r="E4" s="36"/>
      <c r="F4" s="36"/>
      <c r="G4" s="36"/>
      <c r="H4" s="36">
        <v>7792799</v>
      </c>
      <c r="I4" s="36">
        <f aca="true" t="shared" si="0" ref="I4:I29">(H5-H4)/10</f>
        <v>248.4</v>
      </c>
      <c r="J4" s="36" t="s">
        <v>43</v>
      </c>
      <c r="K4" s="47"/>
      <c r="L4" s="36"/>
      <c r="M4" s="47"/>
    </row>
    <row r="5" spans="1:13" ht="12.75">
      <c r="A5" s="40">
        <v>39213</v>
      </c>
      <c r="B5" s="38">
        <v>10</v>
      </c>
      <c r="C5" s="36"/>
      <c r="D5" s="36"/>
      <c r="E5" s="36"/>
      <c r="F5" s="36"/>
      <c r="G5" s="36"/>
      <c r="H5" s="36">
        <v>7795283</v>
      </c>
      <c r="I5" s="36">
        <f t="shared" si="0"/>
        <v>235.2</v>
      </c>
      <c r="J5" s="36"/>
      <c r="K5" s="47"/>
      <c r="L5" s="36"/>
      <c r="M5" s="47"/>
    </row>
    <row r="6" spans="1:13" ht="12.75">
      <c r="A6" s="40">
        <v>39214</v>
      </c>
      <c r="B6" s="38">
        <v>10</v>
      </c>
      <c r="C6" s="36"/>
      <c r="D6" s="36"/>
      <c r="E6" s="36"/>
      <c r="F6" s="36"/>
      <c r="G6" s="36"/>
      <c r="H6" s="36">
        <v>7797635</v>
      </c>
      <c r="I6" s="36">
        <f t="shared" si="0"/>
        <v>409.6</v>
      </c>
      <c r="J6" s="36"/>
      <c r="K6" s="47"/>
      <c r="L6" s="36"/>
      <c r="M6" s="47"/>
    </row>
    <row r="7" spans="1:13" ht="12.75">
      <c r="A7" s="40">
        <v>39215</v>
      </c>
      <c r="B7" s="38">
        <v>9</v>
      </c>
      <c r="C7" s="36"/>
      <c r="D7" s="36"/>
      <c r="E7" s="36"/>
      <c r="F7" s="36"/>
      <c r="G7" s="36"/>
      <c r="H7" s="36">
        <v>7801731</v>
      </c>
      <c r="I7" s="36">
        <f t="shared" si="0"/>
        <v>126.5</v>
      </c>
      <c r="J7" s="36"/>
      <c r="K7" s="47"/>
      <c r="L7" s="36"/>
      <c r="M7" s="47"/>
    </row>
    <row r="8" spans="1:13" ht="12.75">
      <c r="A8" s="40">
        <v>39216</v>
      </c>
      <c r="B8" s="38">
        <v>9</v>
      </c>
      <c r="C8" s="36"/>
      <c r="D8" s="36"/>
      <c r="E8" s="36"/>
      <c r="F8" s="36"/>
      <c r="G8" s="36"/>
      <c r="H8" s="36">
        <v>7802996</v>
      </c>
      <c r="I8" s="36">
        <f t="shared" si="0"/>
        <v>293.6</v>
      </c>
      <c r="J8" s="36"/>
      <c r="K8" s="47"/>
      <c r="L8" s="36"/>
      <c r="M8" s="47"/>
    </row>
    <row r="9" spans="1:13" ht="12.75">
      <c r="A9" s="40">
        <v>39217</v>
      </c>
      <c r="B9" s="38">
        <v>17</v>
      </c>
      <c r="C9" s="36"/>
      <c r="D9" s="36"/>
      <c r="E9" s="36"/>
      <c r="F9" s="36"/>
      <c r="G9" s="36"/>
      <c r="H9" s="36">
        <v>7805932</v>
      </c>
      <c r="I9" s="36">
        <f t="shared" si="0"/>
        <v>130.4</v>
      </c>
      <c r="J9" s="36"/>
      <c r="K9" s="47"/>
      <c r="L9" s="36"/>
      <c r="M9" s="47"/>
    </row>
    <row r="10" spans="1:13" ht="12.75">
      <c r="A10" s="40">
        <v>39218</v>
      </c>
      <c r="B10" s="38">
        <v>8.3</v>
      </c>
      <c r="C10" s="36"/>
      <c r="D10" s="36"/>
      <c r="E10" s="36"/>
      <c r="F10" s="36"/>
      <c r="G10" s="36"/>
      <c r="H10" s="36">
        <v>7807236</v>
      </c>
      <c r="I10" s="36">
        <f t="shared" si="0"/>
        <v>380.2</v>
      </c>
      <c r="J10" s="36"/>
      <c r="K10" s="47">
        <f>SUM(I4:I9)</f>
        <v>1443.7000000000003</v>
      </c>
      <c r="L10" s="36"/>
      <c r="M10" s="47"/>
    </row>
    <row r="11" spans="1:13" ht="12.75">
      <c r="A11" s="40">
        <v>39219</v>
      </c>
      <c r="B11" s="38">
        <v>8.3</v>
      </c>
      <c r="C11" s="36"/>
      <c r="D11" s="36"/>
      <c r="E11" s="36"/>
      <c r="F11" s="36"/>
      <c r="G11" s="36"/>
      <c r="H11" s="36">
        <v>7811038</v>
      </c>
      <c r="I11" s="36">
        <f t="shared" si="0"/>
        <v>476.3</v>
      </c>
      <c r="J11" s="36"/>
      <c r="K11" s="47"/>
      <c r="L11" s="36"/>
      <c r="M11" s="47"/>
    </row>
    <row r="12" spans="1:13" ht="12.75">
      <c r="A12" s="40">
        <v>39220</v>
      </c>
      <c r="B12" s="38">
        <v>8.3</v>
      </c>
      <c r="C12" s="36"/>
      <c r="D12" s="36"/>
      <c r="E12" s="36"/>
      <c r="F12" s="36"/>
      <c r="G12" s="36"/>
      <c r="H12" s="36">
        <v>7815801</v>
      </c>
      <c r="I12" s="36">
        <f t="shared" si="0"/>
        <v>505.7</v>
      </c>
      <c r="K12" s="47"/>
      <c r="L12" s="36"/>
      <c r="M12" s="47"/>
    </row>
    <row r="13" spans="1:13" ht="12.75">
      <c r="A13" s="40">
        <v>39221</v>
      </c>
      <c r="B13" s="38">
        <v>18.3</v>
      </c>
      <c r="C13" s="36"/>
      <c r="D13" s="36"/>
      <c r="E13" s="36"/>
      <c r="F13" s="36"/>
      <c r="G13" s="36"/>
      <c r="H13" s="36">
        <v>7820858</v>
      </c>
      <c r="I13" s="36">
        <f t="shared" si="0"/>
        <v>950.8</v>
      </c>
      <c r="J13" s="36" t="s">
        <v>42</v>
      </c>
      <c r="K13" s="47"/>
      <c r="L13" s="36"/>
      <c r="M13" s="47"/>
    </row>
    <row r="14" spans="1:13" ht="12.75">
      <c r="A14" s="40">
        <v>39222</v>
      </c>
      <c r="B14" s="38">
        <v>8.3</v>
      </c>
      <c r="C14" s="36"/>
      <c r="D14" s="36"/>
      <c r="E14" s="36"/>
      <c r="F14" s="36"/>
      <c r="G14" s="36"/>
      <c r="H14" s="36">
        <v>7830366</v>
      </c>
      <c r="I14" s="36">
        <f t="shared" si="0"/>
        <v>484.2</v>
      </c>
      <c r="J14" s="36" t="s">
        <v>42</v>
      </c>
      <c r="K14" s="47"/>
      <c r="L14" s="36"/>
      <c r="M14" s="47"/>
    </row>
    <row r="15" spans="1:13" ht="12.75">
      <c r="A15" s="40">
        <v>39223</v>
      </c>
      <c r="B15" s="38">
        <v>8.3</v>
      </c>
      <c r="C15" s="36"/>
      <c r="D15" s="36"/>
      <c r="E15" s="36"/>
      <c r="F15" s="36"/>
      <c r="G15" s="36"/>
      <c r="H15" s="36">
        <v>7835208</v>
      </c>
      <c r="I15" s="36">
        <f t="shared" si="0"/>
        <v>758.1</v>
      </c>
      <c r="J15" s="36" t="s">
        <v>42</v>
      </c>
      <c r="K15" s="47"/>
      <c r="L15" s="36"/>
      <c r="M15" s="47"/>
    </row>
    <row r="16" spans="1:13" ht="12.75">
      <c r="A16" s="40">
        <v>39224</v>
      </c>
      <c r="B16" s="38">
        <v>8.3</v>
      </c>
      <c r="C16" s="36"/>
      <c r="D16" s="36"/>
      <c r="E16" s="36"/>
      <c r="F16" s="36"/>
      <c r="G16" s="36"/>
      <c r="H16" s="36">
        <v>7842789</v>
      </c>
      <c r="I16" s="36">
        <f t="shared" si="0"/>
        <v>168.4</v>
      </c>
      <c r="J16" s="36"/>
      <c r="K16" s="47">
        <f>SUM(I10:I16)</f>
        <v>3723.7</v>
      </c>
      <c r="L16" s="36">
        <v>38221</v>
      </c>
      <c r="M16" s="47">
        <v>41577</v>
      </c>
    </row>
    <row r="17" spans="1:13" ht="12.75">
      <c r="A17" s="40">
        <v>39225</v>
      </c>
      <c r="B17" s="38">
        <v>10</v>
      </c>
      <c r="C17" s="36"/>
      <c r="D17" s="36"/>
      <c r="E17" s="36"/>
      <c r="F17" s="36"/>
      <c r="G17" s="36"/>
      <c r="H17" s="36">
        <v>7844473</v>
      </c>
      <c r="I17" s="36">
        <f t="shared" si="0"/>
        <v>262.3</v>
      </c>
      <c r="J17" s="36" t="s">
        <v>43</v>
      </c>
      <c r="K17" s="47"/>
      <c r="L17" s="36">
        <v>38233</v>
      </c>
      <c r="M17" s="47">
        <v>41583</v>
      </c>
    </row>
    <row r="18" spans="1:13" ht="12.75">
      <c r="A18" s="40">
        <v>39226</v>
      </c>
      <c r="B18" s="38">
        <v>8.3</v>
      </c>
      <c r="C18" s="36"/>
      <c r="D18" s="36"/>
      <c r="E18" s="36"/>
      <c r="F18" s="36"/>
      <c r="G18" s="36"/>
      <c r="H18" s="36">
        <v>7847096</v>
      </c>
      <c r="I18" s="36">
        <f t="shared" si="0"/>
        <v>503.6</v>
      </c>
      <c r="J18" s="36" t="s">
        <v>43</v>
      </c>
      <c r="K18" s="47"/>
      <c r="L18" s="36">
        <v>38254</v>
      </c>
      <c r="M18" s="47">
        <v>41590</v>
      </c>
    </row>
    <row r="19" spans="1:13" ht="12.75">
      <c r="A19" s="40">
        <v>39227</v>
      </c>
      <c r="B19" s="38">
        <v>9</v>
      </c>
      <c r="C19" s="36"/>
      <c r="D19" s="36"/>
      <c r="E19" s="36"/>
      <c r="F19" s="36"/>
      <c r="G19" s="36"/>
      <c r="H19" s="36">
        <v>7852132</v>
      </c>
      <c r="I19" s="36">
        <f t="shared" si="0"/>
        <v>575.1</v>
      </c>
      <c r="J19" s="36" t="s">
        <v>46</v>
      </c>
      <c r="K19" s="47"/>
      <c r="L19" s="36">
        <v>38266</v>
      </c>
      <c r="M19" s="47">
        <v>41601</v>
      </c>
    </row>
    <row r="20" spans="1:13" ht="12.75">
      <c r="A20" s="40">
        <v>39228</v>
      </c>
      <c r="B20" s="38">
        <v>10</v>
      </c>
      <c r="C20" s="36"/>
      <c r="D20" s="36"/>
      <c r="E20" s="36"/>
      <c r="F20" s="36"/>
      <c r="G20" s="36"/>
      <c r="H20" s="36">
        <v>7857883</v>
      </c>
      <c r="I20" s="36">
        <f t="shared" si="0"/>
        <v>563.7</v>
      </c>
      <c r="J20" s="36" t="s">
        <v>46</v>
      </c>
      <c r="K20" s="47" t="s">
        <v>50</v>
      </c>
      <c r="L20" s="36">
        <v>38266</v>
      </c>
      <c r="M20" s="47">
        <v>41643</v>
      </c>
    </row>
    <row r="21" spans="1:13" ht="12.75">
      <c r="A21" s="40">
        <v>39229</v>
      </c>
      <c r="B21" s="38">
        <v>10</v>
      </c>
      <c r="C21" s="36"/>
      <c r="D21" s="36"/>
      <c r="E21" s="36"/>
      <c r="F21" s="36"/>
      <c r="G21" s="36"/>
      <c r="H21" s="36">
        <v>7863520</v>
      </c>
      <c r="I21" s="36">
        <f t="shared" si="0"/>
        <v>659.5</v>
      </c>
      <c r="J21" s="36" t="s">
        <v>46</v>
      </c>
      <c r="K21" s="47" t="s">
        <v>50</v>
      </c>
      <c r="L21" s="36">
        <v>38266</v>
      </c>
      <c r="M21" s="47">
        <v>41668</v>
      </c>
    </row>
    <row r="22" spans="1:15" ht="12.75">
      <c r="A22" s="40">
        <v>39230</v>
      </c>
      <c r="B22" s="38">
        <v>10</v>
      </c>
      <c r="C22" s="36"/>
      <c r="D22" s="36"/>
      <c r="E22" s="36"/>
      <c r="F22" s="36"/>
      <c r="G22" s="36"/>
      <c r="H22" s="36">
        <v>7870115</v>
      </c>
      <c r="I22" s="36">
        <f t="shared" si="0"/>
        <v>584.2</v>
      </c>
      <c r="J22" s="36" t="s">
        <v>47</v>
      </c>
      <c r="K22" s="47">
        <f>SUM(I16:I22)</f>
        <v>3316.8</v>
      </c>
      <c r="L22" s="36">
        <v>38270</v>
      </c>
      <c r="M22" s="47">
        <v>41689</v>
      </c>
      <c r="N22" s="36">
        <f>L22-L16</f>
        <v>49</v>
      </c>
      <c r="O22" s="36">
        <f>M22-M16</f>
        <v>112</v>
      </c>
    </row>
    <row r="23" spans="1:13" ht="12.75">
      <c r="A23" s="40">
        <v>39231</v>
      </c>
      <c r="B23" s="38">
        <v>10</v>
      </c>
      <c r="C23" s="36"/>
      <c r="D23" s="36"/>
      <c r="E23" s="36"/>
      <c r="F23" s="36"/>
      <c r="G23" s="36"/>
      <c r="H23" s="36">
        <v>7875957</v>
      </c>
      <c r="I23" s="36">
        <f t="shared" si="0"/>
        <v>531.6</v>
      </c>
      <c r="J23" s="36" t="s">
        <v>47</v>
      </c>
      <c r="K23" s="47">
        <f>SUM(I17:I23)</f>
        <v>3679.9999999999995</v>
      </c>
      <c r="L23" s="36">
        <v>38299</v>
      </c>
      <c r="M23" s="47">
        <v>41695</v>
      </c>
    </row>
    <row r="24" spans="1:13" ht="12.75">
      <c r="A24" s="40">
        <v>39232</v>
      </c>
      <c r="B24" s="38">
        <v>10</v>
      </c>
      <c r="C24" s="36"/>
      <c r="D24" s="36"/>
      <c r="E24" s="36"/>
      <c r="F24" s="36"/>
      <c r="G24" s="36"/>
      <c r="H24" s="36">
        <v>7881273</v>
      </c>
      <c r="I24" s="36">
        <f t="shared" si="0"/>
        <v>435.2</v>
      </c>
      <c r="J24" s="36"/>
      <c r="K24" s="47">
        <f>SUM(I18:I24)</f>
        <v>3852.9</v>
      </c>
      <c r="L24" s="36">
        <v>38306</v>
      </c>
      <c r="M24" s="47">
        <v>41703</v>
      </c>
    </row>
    <row r="25" spans="1:13" ht="12.75">
      <c r="A25" s="40">
        <v>39233</v>
      </c>
      <c r="B25" s="38">
        <v>10</v>
      </c>
      <c r="C25" s="36"/>
      <c r="D25" s="36"/>
      <c r="E25" s="36"/>
      <c r="F25" s="36"/>
      <c r="G25" s="36"/>
      <c r="H25" s="36">
        <v>7885625</v>
      </c>
      <c r="I25" s="36">
        <f t="shared" si="0"/>
        <v>1644.1</v>
      </c>
      <c r="J25" s="36" t="s">
        <v>51</v>
      </c>
      <c r="K25" s="47"/>
      <c r="L25" s="36">
        <v>38323</v>
      </c>
      <c r="M25" s="47">
        <v>41711</v>
      </c>
    </row>
    <row r="26" spans="1:13" ht="12.75">
      <c r="A26" s="40">
        <v>39234</v>
      </c>
      <c r="B26" s="38"/>
      <c r="C26" s="36"/>
      <c r="D26" s="36"/>
      <c r="E26" s="36"/>
      <c r="F26" s="36"/>
      <c r="G26" s="36"/>
      <c r="H26" s="36">
        <v>7902066</v>
      </c>
      <c r="I26" s="36">
        <f t="shared" si="0"/>
        <v>849.6</v>
      </c>
      <c r="J26" s="36" t="s">
        <v>52</v>
      </c>
      <c r="K26" s="47"/>
      <c r="L26" s="47">
        <f>(L27+L25)/2</f>
        <v>38330</v>
      </c>
      <c r="M26" s="47">
        <f>(M27+M25)/2</f>
        <v>41736</v>
      </c>
    </row>
    <row r="27" spans="1:13" ht="12.75">
      <c r="A27" s="40">
        <v>39235</v>
      </c>
      <c r="B27" s="38"/>
      <c r="C27" s="36"/>
      <c r="D27" s="36"/>
      <c r="E27" s="36"/>
      <c r="F27" s="36"/>
      <c r="G27" s="36"/>
      <c r="H27" s="36">
        <f>(H28+H26)/2</f>
        <v>7910562</v>
      </c>
      <c r="I27" s="36">
        <f t="shared" si="0"/>
        <v>849.6</v>
      </c>
      <c r="J27" s="36" t="s">
        <v>52</v>
      </c>
      <c r="K27" s="47"/>
      <c r="L27" s="36">
        <v>38337</v>
      </c>
      <c r="M27" s="47">
        <v>41761</v>
      </c>
    </row>
    <row r="28" spans="1:15" ht="12.75">
      <c r="A28" s="48">
        <v>39236</v>
      </c>
      <c r="B28" s="49"/>
      <c r="C28" s="50"/>
      <c r="D28" s="50"/>
      <c r="E28" s="50"/>
      <c r="F28" s="50"/>
      <c r="G28" s="50"/>
      <c r="H28" s="50">
        <v>7919058</v>
      </c>
      <c r="I28" s="50">
        <f t="shared" si="0"/>
        <v>874.4</v>
      </c>
      <c r="J28" s="50" t="s">
        <v>52</v>
      </c>
      <c r="K28" s="51"/>
      <c r="L28" s="50">
        <v>38349</v>
      </c>
      <c r="M28" s="51">
        <v>41782</v>
      </c>
      <c r="N28" s="50"/>
      <c r="O28" s="50"/>
    </row>
    <row r="29" spans="1:13" s="36" customFormat="1" ht="12.75">
      <c r="A29" s="40">
        <v>39237</v>
      </c>
      <c r="B29" s="38"/>
      <c r="H29" s="36">
        <v>7927802</v>
      </c>
      <c r="I29" s="36">
        <f t="shared" si="0"/>
        <v>1193.5</v>
      </c>
      <c r="J29" s="36" t="s">
        <v>52</v>
      </c>
      <c r="L29" s="36">
        <v>38354</v>
      </c>
      <c r="M29" s="36">
        <v>41780</v>
      </c>
    </row>
    <row r="30" spans="1:9" s="36" customFormat="1" ht="12.75">
      <c r="A30" s="40">
        <v>39238</v>
      </c>
      <c r="B30" s="38"/>
      <c r="H30" s="36">
        <v>7939737</v>
      </c>
      <c r="I30" s="36" t="s">
        <v>7</v>
      </c>
    </row>
    <row r="31" spans="1:2" s="36" customFormat="1" ht="12.75">
      <c r="A31" s="40">
        <v>39239</v>
      </c>
      <c r="B31" s="38"/>
    </row>
    <row r="32" spans="1:2" s="36" customFormat="1" ht="12.75">
      <c r="A32" s="40">
        <v>39240</v>
      </c>
      <c r="B32" s="38"/>
    </row>
    <row r="33" spans="1:2" s="36" customFormat="1" ht="12.75">
      <c r="A33" s="40">
        <v>39241</v>
      </c>
      <c r="B33" s="38"/>
    </row>
    <row r="34" spans="1:2" s="36" customFormat="1" ht="12.75">
      <c r="A34" s="40">
        <v>39242</v>
      </c>
      <c r="B34" s="38"/>
    </row>
    <row r="35" spans="1:2" s="36" customFormat="1" ht="12.75">
      <c r="A35" s="40">
        <v>39243</v>
      </c>
      <c r="B35" s="38"/>
    </row>
    <row r="36" spans="1:2" s="36" customFormat="1" ht="12.75">
      <c r="A36" s="40">
        <v>39244</v>
      </c>
      <c r="B36" s="38"/>
    </row>
    <row r="37" spans="1:2" s="36" customFormat="1" ht="12.75">
      <c r="A37" s="40">
        <v>39245</v>
      </c>
      <c r="B37" s="38"/>
    </row>
    <row r="38" spans="1:2" s="36" customFormat="1" ht="12.75">
      <c r="A38" s="40">
        <v>39246</v>
      </c>
      <c r="B38" s="38"/>
    </row>
    <row r="39" spans="1:2" s="36" customFormat="1" ht="12.75">
      <c r="A39" s="40">
        <v>39247</v>
      </c>
      <c r="B39" s="38"/>
    </row>
    <row r="40" spans="1:2" s="36" customFormat="1" ht="12.75">
      <c r="A40" s="40">
        <v>39248</v>
      </c>
      <c r="B40" s="38"/>
    </row>
    <row r="41" spans="1:2" s="36" customFormat="1" ht="12.75">
      <c r="A41" s="40">
        <v>39249</v>
      </c>
      <c r="B41" s="38"/>
    </row>
    <row r="42" spans="1:2" s="36" customFormat="1" ht="12.75">
      <c r="A42" s="40">
        <v>39250</v>
      </c>
      <c r="B42" s="38"/>
    </row>
    <row r="43" spans="1:2" s="36" customFormat="1" ht="12.75">
      <c r="A43" s="40">
        <v>39251</v>
      </c>
      <c r="B43" s="38"/>
    </row>
    <row r="44" spans="1:2" s="36" customFormat="1" ht="12.75">
      <c r="A44" s="40">
        <v>39252</v>
      </c>
      <c r="B44" s="38"/>
    </row>
    <row r="45" spans="1:2" s="36" customFormat="1" ht="12.75">
      <c r="A45" s="40">
        <v>39253</v>
      </c>
      <c r="B45" s="38"/>
    </row>
    <row r="46" spans="1:2" s="36" customFormat="1" ht="12.75">
      <c r="A46" s="40">
        <v>39254</v>
      </c>
      <c r="B46" s="38"/>
    </row>
    <row r="47" spans="1:2" s="36" customFormat="1" ht="12.75">
      <c r="A47" s="40">
        <v>39255</v>
      </c>
      <c r="B47" s="38"/>
    </row>
    <row r="48" spans="1:2" s="36" customFormat="1" ht="12.75">
      <c r="A48" s="40">
        <v>39256</v>
      </c>
      <c r="B48" s="38"/>
    </row>
    <row r="49" spans="1:2" s="36" customFormat="1" ht="12.75">
      <c r="A49" s="40">
        <v>39257</v>
      </c>
      <c r="B49" s="38"/>
    </row>
    <row r="50" spans="1:2" s="36" customFormat="1" ht="12.75">
      <c r="A50" s="40">
        <v>39258</v>
      </c>
      <c r="B50" s="38"/>
    </row>
    <row r="51" spans="1:2" s="36" customFormat="1" ht="12.75">
      <c r="A51" s="40">
        <v>39259</v>
      </c>
      <c r="B51" s="38"/>
    </row>
    <row r="52" spans="1:2" s="36" customFormat="1" ht="12.75">
      <c r="A52" s="40">
        <v>39260</v>
      </c>
      <c r="B52" s="38"/>
    </row>
    <row r="53" spans="14:15" ht="12.75">
      <c r="N53" s="52"/>
      <c r="O53" s="52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00390625" style="0" bestFit="1" customWidth="1"/>
    <col min="3" max="3" width="11.57421875" style="0" bestFit="1" customWidth="1"/>
    <col min="6" max="6" width="10.8515625" style="21" bestFit="1" customWidth="1"/>
    <col min="7" max="7" width="9.421875" style="0" bestFit="1" customWidth="1"/>
    <col min="8" max="8" width="11.140625" style="0" bestFit="1" customWidth="1"/>
  </cols>
  <sheetData>
    <row r="1" spans="1:9" ht="12.75">
      <c r="A1" t="s">
        <v>39</v>
      </c>
      <c r="B1" t="s">
        <v>36</v>
      </c>
      <c r="C1" t="s">
        <v>37</v>
      </c>
      <c r="D1" t="s">
        <v>38</v>
      </c>
      <c r="F1" s="21" t="s">
        <v>40</v>
      </c>
      <c r="I1" t="s">
        <v>0</v>
      </c>
    </row>
    <row r="2" spans="1:6" ht="12.75">
      <c r="A2">
        <v>1995</v>
      </c>
      <c r="B2">
        <v>4012</v>
      </c>
      <c r="C2">
        <v>3716</v>
      </c>
      <c r="D2">
        <f>B2+C2</f>
        <v>7728</v>
      </c>
      <c r="E2">
        <v>119.17</v>
      </c>
      <c r="F2" s="21">
        <f>E2/2.20376</f>
        <v>54.0757614259266</v>
      </c>
    </row>
    <row r="3" spans="1:9" ht="12.75">
      <c r="A3">
        <v>1996</v>
      </c>
      <c r="B3">
        <v>3104</v>
      </c>
      <c r="C3">
        <v>3024</v>
      </c>
      <c r="D3">
        <f aca="true" t="shared" si="0" ref="D3:D13">B3+C3</f>
        <v>6128</v>
      </c>
      <c r="E3">
        <v>117.96</v>
      </c>
      <c r="F3" s="21">
        <f aca="true" t="shared" si="1" ref="F3:F8">E3/2.20376</f>
        <v>53.52669982212219</v>
      </c>
      <c r="I3">
        <v>60</v>
      </c>
    </row>
    <row r="4" spans="1:8" ht="12.75">
      <c r="A4">
        <v>1997</v>
      </c>
      <c r="B4">
        <v>3127</v>
      </c>
      <c r="C4">
        <v>3402</v>
      </c>
      <c r="D4">
        <f t="shared" si="0"/>
        <v>6529</v>
      </c>
      <c r="E4">
        <v>121.25</v>
      </c>
      <c r="F4" s="21">
        <f t="shared" si="1"/>
        <v>55.01960286056558</v>
      </c>
      <c r="H4">
        <v>34639</v>
      </c>
    </row>
    <row r="5" spans="1:8" ht="12.75">
      <c r="A5">
        <v>1998</v>
      </c>
      <c r="B5">
        <v>2317</v>
      </c>
      <c r="C5">
        <v>3693</v>
      </c>
      <c r="D5">
        <f t="shared" si="0"/>
        <v>6010</v>
      </c>
      <c r="E5">
        <v>113.86</v>
      </c>
      <c r="F5" s="21">
        <f t="shared" si="1"/>
        <v>51.6662431480742</v>
      </c>
      <c r="H5">
        <v>34700</v>
      </c>
    </row>
    <row r="6" spans="1:8" ht="12.75">
      <c r="A6">
        <v>1999</v>
      </c>
      <c r="B6" s="9">
        <v>2284</v>
      </c>
      <c r="C6" s="9">
        <v>3346</v>
      </c>
      <c r="D6">
        <f t="shared" si="0"/>
        <v>5630</v>
      </c>
      <c r="E6">
        <v>125.23</v>
      </c>
      <c r="F6" s="21">
        <f t="shared" si="1"/>
        <v>56.82560714415363</v>
      </c>
      <c r="H6">
        <v>34731</v>
      </c>
    </row>
    <row r="7" spans="1:8" ht="12.75">
      <c r="A7">
        <v>2000</v>
      </c>
      <c r="B7">
        <v>1530</v>
      </c>
      <c r="C7">
        <v>2490</v>
      </c>
      <c r="D7">
        <f t="shared" si="0"/>
        <v>4020</v>
      </c>
      <c r="E7">
        <v>108</v>
      </c>
      <c r="F7" s="21">
        <f>E7/2.20376</f>
        <v>49.00715141394707</v>
      </c>
      <c r="H7" t="s">
        <v>6</v>
      </c>
    </row>
    <row r="8" spans="1:9" ht="12.75">
      <c r="A8">
        <v>2001</v>
      </c>
      <c r="B8">
        <v>1906</v>
      </c>
      <c r="C8">
        <v>2904</v>
      </c>
      <c r="D8">
        <f t="shared" si="0"/>
        <v>4810</v>
      </c>
      <c r="E8">
        <v>141.50021909999998</v>
      </c>
      <c r="F8" s="21">
        <f t="shared" si="1"/>
        <v>64.20854317167023</v>
      </c>
      <c r="H8">
        <v>34759</v>
      </c>
      <c r="I8">
        <v>119.17</v>
      </c>
    </row>
    <row r="9" spans="1:8" ht="12.75">
      <c r="A9">
        <v>2002</v>
      </c>
      <c r="B9">
        <v>1999</v>
      </c>
      <c r="C9">
        <v>3202</v>
      </c>
      <c r="D9">
        <f t="shared" si="0"/>
        <v>5201</v>
      </c>
      <c r="F9" s="21">
        <v>66</v>
      </c>
      <c r="H9">
        <v>34790</v>
      </c>
    </row>
    <row r="10" spans="1:8" ht="12.75">
      <c r="A10">
        <v>2003</v>
      </c>
      <c r="B10">
        <v>3524</v>
      </c>
      <c r="C10">
        <v>2270</v>
      </c>
      <c r="D10">
        <f t="shared" si="0"/>
        <v>5794</v>
      </c>
      <c r="F10" s="21">
        <v>73</v>
      </c>
      <c r="H10">
        <v>34820</v>
      </c>
    </row>
    <row r="11" spans="1:8" ht="12.75">
      <c r="A11">
        <v>2004</v>
      </c>
      <c r="B11">
        <v>3444</v>
      </c>
      <c r="C11">
        <v>2564</v>
      </c>
      <c r="D11">
        <f t="shared" si="0"/>
        <v>6008</v>
      </c>
      <c r="F11" s="21">
        <v>85</v>
      </c>
      <c r="H11">
        <v>34851</v>
      </c>
    </row>
    <row r="12" spans="1:8" ht="12.75">
      <c r="A12">
        <v>2005</v>
      </c>
      <c r="B12">
        <v>3181</v>
      </c>
      <c r="C12">
        <v>4160</v>
      </c>
      <c r="D12">
        <f t="shared" si="0"/>
        <v>7341</v>
      </c>
      <c r="F12" s="21">
        <v>127</v>
      </c>
      <c r="H12">
        <v>34881</v>
      </c>
    </row>
    <row r="13" spans="1:8" ht="12.75">
      <c r="A13">
        <v>2006</v>
      </c>
      <c r="B13" s="9">
        <v>7584</v>
      </c>
      <c r="C13" s="9">
        <v>622</v>
      </c>
      <c r="D13">
        <f t="shared" si="0"/>
        <v>8206</v>
      </c>
      <c r="F13" s="21">
        <v>161</v>
      </c>
      <c r="H13">
        <v>34912</v>
      </c>
    </row>
    <row r="14" spans="1:8" ht="12.75">
      <c r="A14">
        <v>2007</v>
      </c>
      <c r="B14">
        <v>7412.5</v>
      </c>
      <c r="H14">
        <v>34943</v>
      </c>
    </row>
    <row r="15" spans="1:8" ht="12.75">
      <c r="A15">
        <v>2008</v>
      </c>
      <c r="B15">
        <v>8604.2</v>
      </c>
      <c r="H15">
        <v>34973</v>
      </c>
    </row>
    <row r="16" spans="1:8" ht="12.75">
      <c r="A16">
        <v>2009</v>
      </c>
      <c r="B16">
        <v>9795.9</v>
      </c>
      <c r="H16">
        <v>35004</v>
      </c>
    </row>
    <row r="17" spans="1:8" ht="12.75">
      <c r="A17">
        <v>2010</v>
      </c>
      <c r="B17" s="9">
        <v>10987.6</v>
      </c>
      <c r="H17">
        <v>35034</v>
      </c>
    </row>
    <row r="18" spans="1:8" ht="12.75">
      <c r="A18">
        <v>2011</v>
      </c>
      <c r="B18">
        <v>12179.3</v>
      </c>
      <c r="H18">
        <v>35065</v>
      </c>
    </row>
    <row r="19" spans="1:8" ht="12.75">
      <c r="A19">
        <v>2012</v>
      </c>
      <c r="B19">
        <v>13371</v>
      </c>
      <c r="H19">
        <v>35096</v>
      </c>
    </row>
    <row r="20" spans="1:10" ht="12.75">
      <c r="A20">
        <v>2013</v>
      </c>
      <c r="B20">
        <v>14562.7</v>
      </c>
      <c r="F20" s="21">
        <v>3024</v>
      </c>
      <c r="H20" t="s">
        <v>8</v>
      </c>
      <c r="I20">
        <v>117.96</v>
      </c>
      <c r="J20">
        <v>161.42815222208608</v>
      </c>
    </row>
    <row r="21" spans="1:8" ht="12.75">
      <c r="A21">
        <v>2014</v>
      </c>
      <c r="H21">
        <v>35125</v>
      </c>
    </row>
    <row r="22" spans="1:9" ht="12.75">
      <c r="A22">
        <v>2015</v>
      </c>
      <c r="F22" s="21">
        <v>2936</v>
      </c>
      <c r="H22">
        <v>35156</v>
      </c>
      <c r="I22">
        <v>117</v>
      </c>
    </row>
    <row r="23" spans="1:8" ht="12.75">
      <c r="A23">
        <v>2016</v>
      </c>
      <c r="H23">
        <v>35186</v>
      </c>
    </row>
    <row r="24" spans="1:9" ht="12.75">
      <c r="A24">
        <v>2017</v>
      </c>
      <c r="H24">
        <v>35217</v>
      </c>
      <c r="I24">
        <v>51.25</v>
      </c>
    </row>
    <row r="25" spans="1:8" ht="12.75">
      <c r="A25">
        <v>2018</v>
      </c>
      <c r="H25">
        <v>35247</v>
      </c>
    </row>
    <row r="26" spans="1:8" ht="12.75">
      <c r="A26">
        <v>2019</v>
      </c>
      <c r="H26">
        <v>35278</v>
      </c>
    </row>
    <row r="27" spans="1:8" ht="12.75">
      <c r="A27">
        <v>2020</v>
      </c>
      <c r="H27">
        <v>35309</v>
      </c>
    </row>
    <row r="28" spans="1:8" ht="12.75">
      <c r="A28">
        <v>2021</v>
      </c>
      <c r="H28">
        <v>35339</v>
      </c>
    </row>
    <row r="29" spans="1:8" ht="12.75">
      <c r="A29">
        <v>2022</v>
      </c>
      <c r="H29">
        <v>35370</v>
      </c>
    </row>
    <row r="30" spans="1:8" ht="12.75">
      <c r="A30">
        <v>2023</v>
      </c>
      <c r="H30">
        <v>35400</v>
      </c>
    </row>
    <row r="31" spans="1:8" ht="12.75">
      <c r="A31">
        <v>2024</v>
      </c>
      <c r="H31">
        <v>35431</v>
      </c>
    </row>
    <row r="32" spans="1:8" ht="12.75">
      <c r="A32">
        <v>2025</v>
      </c>
      <c r="H32">
        <v>35462</v>
      </c>
    </row>
    <row r="33" spans="1:8" ht="12.75">
      <c r="A33">
        <v>2026</v>
      </c>
      <c r="H33">
        <v>35490</v>
      </c>
    </row>
    <row r="34" ht="12.75">
      <c r="H34">
        <v>35521</v>
      </c>
    </row>
    <row r="35" spans="6:10" ht="12.75">
      <c r="F35" s="21">
        <v>3402</v>
      </c>
      <c r="G35">
        <v>6529</v>
      </c>
      <c r="H35" t="s">
        <v>9</v>
      </c>
      <c r="J35">
        <v>187.44471917055026</v>
      </c>
    </row>
    <row r="36" spans="7:9" ht="12.75">
      <c r="G36" t="s">
        <v>7</v>
      </c>
      <c r="H36" t="s">
        <v>10</v>
      </c>
      <c r="I36">
        <v>53</v>
      </c>
    </row>
    <row r="37" spans="7:8" ht="12.75">
      <c r="G37" t="s">
        <v>7</v>
      </c>
      <c r="H37">
        <v>35765</v>
      </c>
    </row>
    <row r="38" spans="7:8" ht="12.75">
      <c r="G38" t="s">
        <v>7</v>
      </c>
      <c r="H38">
        <v>35827</v>
      </c>
    </row>
    <row r="39" spans="6:8" ht="12.75">
      <c r="F39" s="21">
        <v>3693</v>
      </c>
      <c r="G39">
        <v>6010</v>
      </c>
      <c r="H39">
        <v>35888</v>
      </c>
    </row>
    <row r="40" spans="7:10" ht="12.75">
      <c r="G40" t="s">
        <v>7</v>
      </c>
      <c r="I40">
        <v>113.86</v>
      </c>
      <c r="J40">
        <v>147.94445125114768</v>
      </c>
    </row>
    <row r="41" spans="7:9" ht="12.75">
      <c r="G41" t="s">
        <v>7</v>
      </c>
      <c r="H41">
        <v>36111</v>
      </c>
      <c r="I41">
        <v>43</v>
      </c>
    </row>
    <row r="42" spans="7:8" ht="12.75">
      <c r="G42" t="s">
        <v>7</v>
      </c>
      <c r="H42">
        <v>36172</v>
      </c>
    </row>
    <row r="43" spans="7:8" ht="12.75">
      <c r="G43" t="s">
        <v>7</v>
      </c>
      <c r="H43">
        <v>36237</v>
      </c>
    </row>
    <row r="44" spans="6:10" ht="12.75">
      <c r="F44" s="21">
        <v>3346</v>
      </c>
      <c r="G44">
        <v>5630</v>
      </c>
      <c r="I44">
        <v>125.23</v>
      </c>
      <c r="J44">
        <v>135.77141880434962</v>
      </c>
    </row>
    <row r="45" spans="7:9" ht="12.75">
      <c r="G45" t="s">
        <v>7</v>
      </c>
      <c r="H45">
        <v>36495</v>
      </c>
      <c r="I45">
        <v>68.8</v>
      </c>
    </row>
    <row r="46" spans="7:8" ht="12.75">
      <c r="G46" t="s">
        <v>7</v>
      </c>
      <c r="H46">
        <v>36579</v>
      </c>
    </row>
    <row r="47" spans="6:10" ht="12.75">
      <c r="F47" s="21">
        <v>2575</v>
      </c>
      <c r="G47">
        <v>4367</v>
      </c>
      <c r="H47" t="s">
        <v>20</v>
      </c>
      <c r="J47">
        <v>127.88850015050376</v>
      </c>
    </row>
    <row r="48" ht="12.75">
      <c r="I48">
        <v>-211</v>
      </c>
    </row>
    <row r="50" spans="6:10" ht="12.75">
      <c r="F50" s="21">
        <v>2490</v>
      </c>
      <c r="G50">
        <v>4020</v>
      </c>
      <c r="H50" t="s">
        <v>21</v>
      </c>
      <c r="J50">
        <v>136.35225748094498</v>
      </c>
    </row>
    <row r="51" spans="8:9" ht="12.75">
      <c r="H51" t="s">
        <v>7</v>
      </c>
      <c r="I51">
        <v>128.53</v>
      </c>
    </row>
    <row r="52" spans="6:9" ht="12.75">
      <c r="F52" s="21">
        <v>2904</v>
      </c>
      <c r="G52">
        <v>4810</v>
      </c>
      <c r="I52">
        <v>141.50021909999998</v>
      </c>
    </row>
    <row r="53" spans="8:10" ht="12.75">
      <c r="H53" t="s">
        <v>22</v>
      </c>
      <c r="I53">
        <v>388.09536810000003</v>
      </c>
      <c r="J53">
        <v>155.6472052168086</v>
      </c>
    </row>
    <row r="56" spans="6:7" ht="12.75">
      <c r="F56" s="21">
        <v>3202</v>
      </c>
      <c r="G56">
        <v>4880</v>
      </c>
    </row>
    <row r="57" spans="8:10" ht="12.75">
      <c r="H57">
        <v>2002</v>
      </c>
      <c r="I57">
        <v>0</v>
      </c>
      <c r="J57">
        <v>162.4741666666667</v>
      </c>
    </row>
    <row r="60" spans="6:7" ht="12.75">
      <c r="F60" s="21">
        <v>2270</v>
      </c>
      <c r="G60">
        <v>5453</v>
      </c>
    </row>
    <row r="61" spans="8:10" ht="12.75">
      <c r="H61" t="s">
        <v>24</v>
      </c>
      <c r="I61">
        <v>23</v>
      </c>
      <c r="J61">
        <v>164.31916666666666</v>
      </c>
    </row>
    <row r="63" spans="6:7" ht="12.75">
      <c r="F63" s="21">
        <v>2564</v>
      </c>
      <c r="G63">
        <v>5895</v>
      </c>
    </row>
    <row r="64" spans="8:9" ht="12.75">
      <c r="H64" t="s">
        <v>7</v>
      </c>
      <c r="I64">
        <v>48</v>
      </c>
    </row>
    <row r="65" spans="8:9" ht="12.75">
      <c r="H65">
        <v>2004</v>
      </c>
      <c r="I65">
        <v>73</v>
      </c>
    </row>
    <row r="67" ht="12.75">
      <c r="G67">
        <v>6137</v>
      </c>
    </row>
    <row r="68" spans="6:7" ht="12.75">
      <c r="F68" s="21">
        <v>4160</v>
      </c>
      <c r="G68">
        <v>7513</v>
      </c>
    </row>
    <row r="70" ht="12.75">
      <c r="H70">
        <v>2005</v>
      </c>
    </row>
    <row r="74" spans="6:8" ht="12.75">
      <c r="F74" s="21">
        <v>622</v>
      </c>
      <c r="G74">
        <v>8206</v>
      </c>
      <c r="H74">
        <v>2006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22">
      <selection activeCell="B43" sqref="B43"/>
    </sheetView>
  </sheetViews>
  <sheetFormatPr defaultColWidth="9.140625" defaultRowHeight="12.75"/>
  <cols>
    <col min="1" max="1" width="10.57421875" style="0" customWidth="1"/>
    <col min="2" max="2" width="9.421875" style="5" customWidth="1"/>
  </cols>
  <sheetData>
    <row r="1" ht="12.75">
      <c r="B1" s="7"/>
    </row>
    <row r="2" ht="12.75">
      <c r="B2" s="5" t="s">
        <v>18</v>
      </c>
    </row>
    <row r="3" spans="1:2" ht="12.75">
      <c r="A3" s="4"/>
      <c r="B3" s="5" t="s">
        <v>5</v>
      </c>
    </row>
    <row r="4" spans="1:2" ht="12.75">
      <c r="A4" s="4">
        <v>34639</v>
      </c>
      <c r="B4" s="5">
        <v>0.6258823529411764</v>
      </c>
    </row>
    <row r="5" spans="1:2" ht="12.75">
      <c r="A5" s="4">
        <v>34700</v>
      </c>
      <c r="B5" s="5">
        <v>0.6588888888888889</v>
      </c>
    </row>
    <row r="6" spans="1:2" ht="12.75">
      <c r="A6" s="4">
        <v>34731</v>
      </c>
      <c r="B6" s="5">
        <v>0.716842105263158</v>
      </c>
    </row>
    <row r="7" spans="1:2" ht="12.75">
      <c r="A7" s="6" t="s">
        <v>6</v>
      </c>
      <c r="B7" s="5">
        <v>0.6688888888888889</v>
      </c>
    </row>
    <row r="8" spans="1:2" ht="12.75">
      <c r="A8" s="4">
        <v>34759</v>
      </c>
      <c r="B8" s="5" t="s">
        <v>7</v>
      </c>
    </row>
    <row r="9" spans="1:2" ht="12.75">
      <c r="A9" s="4">
        <v>34790</v>
      </c>
      <c r="B9" s="5" t="s">
        <v>7</v>
      </c>
    </row>
    <row r="10" spans="1:2" ht="12.75">
      <c r="A10" s="4">
        <v>34820</v>
      </c>
      <c r="B10" s="5" t="s">
        <v>7</v>
      </c>
    </row>
    <row r="11" spans="1:2" ht="12.75">
      <c r="A11" s="4">
        <v>34851</v>
      </c>
      <c r="B11" s="5" t="s">
        <v>7</v>
      </c>
    </row>
    <row r="12" spans="1:2" ht="12.75">
      <c r="A12" s="4">
        <v>34881</v>
      </c>
      <c r="B12" s="5" t="s">
        <v>7</v>
      </c>
    </row>
    <row r="13" spans="1:2" ht="12.75">
      <c r="A13" s="4">
        <v>34912</v>
      </c>
      <c r="B13" s="5">
        <v>0.623342175066313</v>
      </c>
    </row>
    <row r="14" spans="1:2" ht="12.75">
      <c r="A14" s="4">
        <v>34943</v>
      </c>
      <c r="B14" s="5" t="s">
        <v>7</v>
      </c>
    </row>
    <row r="15" spans="1:2" ht="12.75">
      <c r="A15" s="4">
        <v>34973</v>
      </c>
      <c r="B15" s="5" t="s">
        <v>7</v>
      </c>
    </row>
    <row r="16" spans="1:2" ht="12.75">
      <c r="A16" s="4">
        <v>35004</v>
      </c>
      <c r="B16" s="5">
        <v>0.6252631578947369</v>
      </c>
    </row>
    <row r="17" spans="1:2" ht="12.75">
      <c r="A17" s="4">
        <v>35034</v>
      </c>
      <c r="B17" s="5">
        <v>0.6535294117647059</v>
      </c>
    </row>
    <row r="18" spans="1:2" ht="12.75">
      <c r="A18" s="4">
        <v>35065</v>
      </c>
      <c r="B18" s="5">
        <v>0.7161904761904762</v>
      </c>
    </row>
    <row r="19" spans="1:2" ht="12.75">
      <c r="A19" s="4">
        <v>35096</v>
      </c>
      <c r="B19" s="5">
        <v>0.71687</v>
      </c>
    </row>
    <row r="20" spans="1:2" ht="12.75">
      <c r="A20" s="6" t="s">
        <v>8</v>
      </c>
      <c r="B20" s="5">
        <v>0.6800961038961039</v>
      </c>
    </row>
    <row r="21" spans="1:2" ht="12.75">
      <c r="A21" s="4">
        <v>35125</v>
      </c>
      <c r="B21" s="5" t="s">
        <v>7</v>
      </c>
    </row>
    <row r="22" spans="1:2" ht="12.75">
      <c r="A22" s="4">
        <v>35156</v>
      </c>
      <c r="B22" s="5" t="s">
        <v>7</v>
      </c>
    </row>
    <row r="23" spans="1:2" ht="12.75">
      <c r="A23" s="4">
        <v>35186</v>
      </c>
      <c r="B23" s="5" t="s">
        <v>7</v>
      </c>
    </row>
    <row r="24" spans="1:2" ht="12.75">
      <c r="A24" s="4">
        <v>35217</v>
      </c>
      <c r="B24" s="5">
        <v>0.6893725</v>
      </c>
    </row>
    <row r="25" spans="1:2" ht="12.75">
      <c r="A25" s="4">
        <v>35247</v>
      </c>
      <c r="B25" s="5" t="s">
        <v>7</v>
      </c>
    </row>
    <row r="26" spans="1:2" ht="12.75">
      <c r="A26" s="4">
        <v>35278</v>
      </c>
      <c r="B26" s="5" t="s">
        <v>7</v>
      </c>
    </row>
    <row r="27" spans="1:2" ht="12.75">
      <c r="A27" s="4">
        <v>35309</v>
      </c>
      <c r="B27" s="5" t="s">
        <v>7</v>
      </c>
    </row>
    <row r="28" spans="1:2" ht="12.75">
      <c r="A28" s="4">
        <v>35339</v>
      </c>
      <c r="B28" s="5" t="s">
        <v>7</v>
      </c>
    </row>
    <row r="29" spans="1:2" ht="12.75">
      <c r="A29" s="4">
        <v>35370</v>
      </c>
      <c r="B29" s="5">
        <v>0.7687999999999999</v>
      </c>
    </row>
    <row r="30" spans="1:2" ht="12.75">
      <c r="A30" s="4">
        <v>35400</v>
      </c>
      <c r="B30" s="5">
        <v>0.8482380952380952</v>
      </c>
    </row>
    <row r="31" spans="1:2" ht="12.75">
      <c r="A31" s="4">
        <v>35431</v>
      </c>
      <c r="B31" s="5" t="s">
        <v>7</v>
      </c>
    </row>
    <row r="32" spans="1:2" ht="12.75">
      <c r="A32" s="4">
        <v>35462</v>
      </c>
      <c r="B32" s="5">
        <v>0.9765473684210526</v>
      </c>
    </row>
    <row r="33" spans="1:2" ht="12.75">
      <c r="A33" s="4">
        <v>35490</v>
      </c>
      <c r="B33" s="5" t="s">
        <v>7</v>
      </c>
    </row>
    <row r="34" spans="1:2" ht="12.75">
      <c r="A34" s="4">
        <v>35521</v>
      </c>
      <c r="B34" s="5" t="s">
        <v>7</v>
      </c>
    </row>
    <row r="35" ht="12.75">
      <c r="A35" s="6" t="s">
        <v>9</v>
      </c>
    </row>
    <row r="36" spans="1:2" ht="12.75">
      <c r="A36" s="1" t="s">
        <v>10</v>
      </c>
      <c r="B36" s="5">
        <v>0.7596375000000001</v>
      </c>
    </row>
    <row r="37" spans="1:2" ht="12.75">
      <c r="A37" s="4">
        <v>35765</v>
      </c>
      <c r="B37" s="5">
        <v>0.8114285714285714</v>
      </c>
    </row>
    <row r="38" spans="1:2" ht="12.75">
      <c r="A38" s="4">
        <v>35827</v>
      </c>
      <c r="B38" s="5">
        <v>0.7810526315789473</v>
      </c>
    </row>
    <row r="39" spans="1:2" ht="12.75">
      <c r="A39" s="4">
        <v>35888</v>
      </c>
      <c r="B39" s="5">
        <v>0.7541</v>
      </c>
    </row>
    <row r="40" ht="12.75">
      <c r="B40" s="5">
        <v>1.0430625</v>
      </c>
    </row>
    <row r="41" spans="1:2" ht="12.75">
      <c r="A41" s="1">
        <v>36111</v>
      </c>
      <c r="B41" s="5">
        <v>0.8025</v>
      </c>
    </row>
    <row r="42" spans="1:2" ht="12.75">
      <c r="A42" s="1">
        <v>36172</v>
      </c>
      <c r="B42" s="5">
        <v>0.8237837837837838</v>
      </c>
    </row>
    <row r="43" spans="1:2" ht="12.75">
      <c r="A43" s="8">
        <v>36237</v>
      </c>
      <c r="B43" s="5">
        <v>0.7933548387096775</v>
      </c>
    </row>
    <row r="44" spans="1:2" ht="12.75">
      <c r="A44" s="9"/>
      <c r="B44" s="11"/>
    </row>
    <row r="45" spans="1:2" ht="12.75">
      <c r="A45" s="4">
        <v>36495</v>
      </c>
      <c r="B45" s="5">
        <v>0.82</v>
      </c>
    </row>
    <row r="46" spans="1:2" ht="12.75">
      <c r="A46" s="8">
        <v>36579</v>
      </c>
      <c r="B46" s="5">
        <v>91.4</v>
      </c>
    </row>
    <row r="47" ht="12.75">
      <c r="A47" t="s">
        <v>20</v>
      </c>
    </row>
    <row r="48" ht="12.75">
      <c r="B48" s="5">
        <v>1.0466</v>
      </c>
    </row>
    <row r="49" ht="12.75">
      <c r="B49" s="5">
        <v>1.03</v>
      </c>
    </row>
    <row r="50" ht="12.75">
      <c r="A50" t="s">
        <v>21</v>
      </c>
    </row>
    <row r="51" spans="1:2" ht="12.75">
      <c r="A51" t="s">
        <v>7</v>
      </c>
      <c r="B51" s="5">
        <v>0.9521</v>
      </c>
    </row>
    <row r="53" ht="12.75">
      <c r="A53" t="s">
        <v>22</v>
      </c>
    </row>
    <row r="57" ht="12.75">
      <c r="A57">
        <v>2002</v>
      </c>
    </row>
    <row r="61" ht="12.75">
      <c r="A61" t="s">
        <v>24</v>
      </c>
    </row>
    <row r="64" ht="12.75">
      <c r="A64" t="s">
        <v>7</v>
      </c>
    </row>
    <row r="65" spans="1:2" ht="12.75">
      <c r="A65" s="9">
        <v>2004</v>
      </c>
      <c r="B65" s="11"/>
    </row>
    <row r="69" spans="1:2" ht="12.75">
      <c r="A69" s="26"/>
      <c r="B69" s="28"/>
    </row>
    <row r="70" spans="1:2" ht="12.75">
      <c r="A70" s="9">
        <v>2005</v>
      </c>
      <c r="B70" s="11"/>
    </row>
    <row r="74" spans="1:2" ht="12.75">
      <c r="A74" s="9">
        <v>2006</v>
      </c>
      <c r="B74" s="11"/>
    </row>
    <row r="75" ht="12.75">
      <c r="A75">
        <v>2007</v>
      </c>
    </row>
    <row r="80" ht="12.75">
      <c r="A80">
        <v>2008</v>
      </c>
    </row>
    <row r="82" ht="12.75">
      <c r="A82">
        <v>2009</v>
      </c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energieverbruik</dc:title>
  <dc:subject/>
  <dc:creator>Philips CCP B.V.</dc:creator>
  <cp:keywords/>
  <dc:description/>
  <cp:lastModifiedBy>Jan van Lievenoogen</cp:lastModifiedBy>
  <cp:lastPrinted>2012-05-14T07:47:13Z</cp:lastPrinted>
  <dcterms:created xsi:type="dcterms:W3CDTF">2001-03-12T07:18:34Z</dcterms:created>
  <dcterms:modified xsi:type="dcterms:W3CDTF">2015-03-20T18:57:08Z</dcterms:modified>
  <cp:category/>
  <cp:version/>
  <cp:contentType/>
  <cp:contentStatus/>
</cp:coreProperties>
</file>